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 activeTab="1"/>
  </bookViews>
  <sheets>
    <sheet name="Предлагаемый" sheetId="4" r:id="rId1"/>
    <sheet name="!!!Периодичность 2(не забываем)" sheetId="8" r:id="rId2"/>
    <sheet name="Объявление" sheetId="6" r:id="rId3"/>
  </sheets>
  <definedNames>
    <definedName name="_xlnm.Print_Area" localSheetId="1">'!!!Периодичность 2(не забываем)'!$A$1:$I$115</definedName>
    <definedName name="_xlnm.Print_Area" localSheetId="2">Объявление!$A$1:$M$25</definedName>
    <definedName name="_xlnm.Print_Area" localSheetId="0">Предлагаемый!$A$1:$H$195</definedName>
  </definedNames>
  <calcPr calcId="145621"/>
</workbook>
</file>

<file path=xl/calcChain.xml><?xml version="1.0" encoding="utf-8"?>
<calcChain xmlns="http://schemas.openxmlformats.org/spreadsheetml/2006/main">
  <c r="D45" i="4" l="1"/>
  <c r="E98" i="8" l="1"/>
  <c r="K163" i="4" l="1"/>
  <c r="K164" i="4" s="1"/>
  <c r="P100" i="4"/>
  <c r="R100" i="4" s="1"/>
  <c r="R101" i="4" s="1"/>
  <c r="R102" i="4" s="1"/>
  <c r="N101" i="4"/>
  <c r="N102" i="4" s="1"/>
  <c r="P101" i="4"/>
  <c r="P102" i="4" s="1"/>
  <c r="K165" i="4" l="1"/>
  <c r="D164" i="4" s="1"/>
  <c r="K166" i="4"/>
  <c r="D165" i="4" s="1"/>
  <c r="K98" i="4"/>
  <c r="K99" i="4" s="1"/>
  <c r="C24" i="4"/>
  <c r="D166" i="4" l="1"/>
  <c r="D162" i="4" s="1"/>
  <c r="K101" i="4"/>
  <c r="D100" i="4" s="1"/>
  <c r="K102" i="4"/>
  <c r="D101" i="4" s="1"/>
  <c r="K100" i="4"/>
  <c r="D99" i="4" s="1"/>
  <c r="F99" i="8"/>
  <c r="J22" i="8"/>
  <c r="J15" i="8"/>
  <c r="E96" i="8" l="1"/>
  <c r="D102" i="4"/>
  <c r="E99" i="4" s="1"/>
  <c r="T70" i="8"/>
  <c r="S70" i="8"/>
  <c r="R70" i="8"/>
  <c r="T67" i="8"/>
  <c r="S67" i="8"/>
  <c r="R67" i="8"/>
  <c r="N64" i="8"/>
  <c r="L64" i="8"/>
  <c r="J62" i="8"/>
  <c r="T61" i="8"/>
  <c r="S61" i="8"/>
  <c r="R61" i="8"/>
  <c r="U59" i="8"/>
  <c r="T59" i="8"/>
  <c r="S59" i="8"/>
  <c r="R59" i="8"/>
  <c r="J59" i="8"/>
  <c r="S50" i="8"/>
  <c r="S48" i="8"/>
  <c r="J44" i="8"/>
  <c r="E101" i="4" l="1"/>
  <c r="E100" i="4"/>
  <c r="D97" i="4"/>
  <c r="E98" i="4"/>
  <c r="D206" i="4"/>
  <c r="K152" i="4"/>
  <c r="K153" i="4" s="1"/>
  <c r="D153" i="4" s="1"/>
  <c r="D154" i="4" s="1"/>
  <c r="D151" i="4" s="1"/>
  <c r="E94" i="8" s="1"/>
  <c r="E97" i="4" l="1"/>
  <c r="E152" i="4"/>
  <c r="E153" i="4"/>
  <c r="E224" i="4"/>
  <c r="E151" i="4" l="1"/>
  <c r="F22" i="8"/>
  <c r="F15" i="8"/>
  <c r="J14" i="8"/>
  <c r="D9" i="8" l="1"/>
  <c r="G94" i="8" l="1"/>
  <c r="G98" i="8"/>
  <c r="G96" i="8"/>
  <c r="K146" i="4"/>
  <c r="K160" i="4"/>
  <c r="K159" i="4"/>
  <c r="K158" i="4"/>
  <c r="K157" i="4"/>
  <c r="N94" i="4" l="1"/>
  <c r="N95" i="4" s="1"/>
  <c r="K91" i="4" s="1"/>
  <c r="K92" i="4" s="1"/>
  <c r="N85" i="4"/>
  <c r="P75" i="4"/>
  <c r="Q75" i="4" s="1"/>
  <c r="D75" i="4" s="1"/>
  <c r="P76" i="4"/>
  <c r="Q76" i="4" s="1"/>
  <c r="D76" i="4" s="1"/>
  <c r="P77" i="4"/>
  <c r="Q77" i="4" s="1"/>
  <c r="D77" i="4" s="1"/>
  <c r="P74" i="4"/>
  <c r="Q74" i="4" s="1"/>
  <c r="D21" i="4"/>
  <c r="N39" i="4"/>
  <c r="D23" i="4" l="1"/>
  <c r="N40" i="4"/>
  <c r="N41" i="4" s="1"/>
  <c r="K38" i="4" s="1"/>
  <c r="K39" i="4" s="1"/>
  <c r="D24" i="4"/>
  <c r="K95" i="4"/>
  <c r="D94" i="4" s="1"/>
  <c r="K94" i="4"/>
  <c r="D93" i="4" s="1"/>
  <c r="K93" i="4"/>
  <c r="D92" i="4" s="1"/>
  <c r="K74" i="4"/>
  <c r="K75" i="4" s="1"/>
  <c r="D95" i="4" l="1"/>
  <c r="K84" i="4"/>
  <c r="K85" i="4" s="1"/>
  <c r="K87" i="4" s="1"/>
  <c r="D86" i="4" s="1"/>
  <c r="K78" i="4"/>
  <c r="D80" i="4" s="1"/>
  <c r="K77" i="4"/>
  <c r="D79" i="4" s="1"/>
  <c r="K76" i="4"/>
  <c r="D78" i="4" s="1"/>
  <c r="K42" i="4"/>
  <c r="D41" i="4" s="1"/>
  <c r="K41" i="4"/>
  <c r="D40" i="4" s="1"/>
  <c r="K40" i="4"/>
  <c r="D39" i="4" s="1"/>
  <c r="E97" i="8"/>
  <c r="G97" i="8" s="1"/>
  <c r="D90" i="4" l="1"/>
  <c r="E80" i="8" s="1"/>
  <c r="G80" i="8" s="1"/>
  <c r="E91" i="4"/>
  <c r="E94" i="4"/>
  <c r="E93" i="4"/>
  <c r="E92" i="4"/>
  <c r="D81" i="4"/>
  <c r="K86" i="4"/>
  <c r="D85" i="4" s="1"/>
  <c r="K88" i="4"/>
  <c r="D87" i="4" s="1"/>
  <c r="D42" i="4"/>
  <c r="O125" i="4"/>
  <c r="D88" i="4" l="1"/>
  <c r="E85" i="4" s="1"/>
  <c r="E90" i="4"/>
  <c r="D73" i="4"/>
  <c r="E78" i="8" s="1"/>
  <c r="G78" i="8" s="1"/>
  <c r="E74" i="4"/>
  <c r="E78" i="4"/>
  <c r="E76" i="4"/>
  <c r="E75" i="4"/>
  <c r="E77" i="4"/>
  <c r="E80" i="4"/>
  <c r="E79" i="4"/>
  <c r="D37" i="4"/>
  <c r="E30" i="8" s="1"/>
  <c r="G30" i="8" s="1"/>
  <c r="E38" i="4"/>
  <c r="E41" i="4"/>
  <c r="E39" i="4"/>
  <c r="E40" i="4"/>
  <c r="E86" i="4" l="1"/>
  <c r="D83" i="4"/>
  <c r="E79" i="8" s="1"/>
  <c r="G79" i="8" s="1"/>
  <c r="E87" i="4"/>
  <c r="E84" i="4"/>
  <c r="E73" i="4"/>
  <c r="E37" i="4"/>
  <c r="O126" i="4"/>
  <c r="E83" i="4" l="1"/>
  <c r="K123" i="4"/>
  <c r="K124" i="4" s="1"/>
  <c r="K170" i="4" l="1"/>
  <c r="K171" i="4" s="1"/>
  <c r="K173" i="4" l="1"/>
  <c r="D172" i="4" s="1"/>
  <c r="K172" i="4"/>
  <c r="D171" i="4" s="1"/>
  <c r="D173" i="4" l="1"/>
  <c r="O119" i="4" l="1"/>
  <c r="O120" i="4" s="1"/>
  <c r="K125" i="4" l="1"/>
  <c r="N35" i="4"/>
  <c r="O35" i="4" s="1"/>
  <c r="K31" i="4" l="1"/>
  <c r="K32" i="4" s="1"/>
  <c r="D67" i="4" l="1"/>
  <c r="D65" i="4"/>
  <c r="D55" i="4"/>
  <c r="D54" i="4"/>
  <c r="K34" i="4"/>
  <c r="D33" i="4" s="1"/>
  <c r="K33" i="4"/>
  <c r="D32" i="4" s="1"/>
  <c r="K35" i="4"/>
  <c r="D34" i="4" s="1"/>
  <c r="D35" i="4" l="1"/>
  <c r="E33" i="4" s="1"/>
  <c r="D30" i="4" l="1"/>
  <c r="E31" i="4"/>
  <c r="E34" i="4"/>
  <c r="E32" i="4"/>
  <c r="K129" i="4"/>
  <c r="E30" i="4" l="1"/>
  <c r="K116" i="4"/>
  <c r="K117" i="4" s="1"/>
  <c r="K119" i="4" l="1"/>
  <c r="D119" i="4" s="1"/>
  <c r="K118" i="4"/>
  <c r="D118" i="4" s="1"/>
  <c r="D124" i="4"/>
  <c r="K126" i="4"/>
  <c r="D125" i="4" s="1"/>
  <c r="D126" i="4" l="1"/>
  <c r="E124" i="4" s="1"/>
  <c r="D120" i="4"/>
  <c r="E123" i="4" l="1"/>
  <c r="E125" i="4"/>
  <c r="D122" i="4"/>
  <c r="E84" i="8" s="1"/>
  <c r="G84" i="8" s="1"/>
  <c r="D115" i="4"/>
  <c r="E116" i="4"/>
  <c r="E117" i="4"/>
  <c r="E118" i="4"/>
  <c r="E119" i="4"/>
  <c r="E83" i="8" l="1"/>
  <c r="E122" i="4"/>
  <c r="G83" i="8" l="1"/>
  <c r="B5" i="6"/>
  <c r="D136" i="4"/>
  <c r="D109" i="4"/>
  <c r="F162" i="4"/>
  <c r="F151" i="4" l="1"/>
  <c r="E202" i="4" s="1"/>
  <c r="F202" i="4" s="1"/>
  <c r="F97" i="4"/>
  <c r="D108" i="4"/>
  <c r="K45" i="4"/>
  <c r="D220" i="4"/>
  <c r="D140" i="4"/>
  <c r="D139" i="4"/>
  <c r="F37" i="4"/>
  <c r="F90" i="4"/>
  <c r="F73" i="4"/>
  <c r="F83" i="4"/>
  <c r="F30" i="4"/>
  <c r="F122" i="4"/>
  <c r="D211" i="4"/>
  <c r="D209" i="4"/>
  <c r="F115" i="4"/>
  <c r="D216" i="4"/>
  <c r="D218" i="4"/>
  <c r="F169" i="4"/>
  <c r="K130" i="4"/>
  <c r="D210" i="4"/>
  <c r="D63" i="4" l="1"/>
  <c r="D106" i="4"/>
  <c r="D107" i="4" s="1"/>
  <c r="D52" i="4"/>
  <c r="K132" i="4"/>
  <c r="D131" i="4" s="1"/>
  <c r="K131" i="4"/>
  <c r="D130" i="4" s="1"/>
  <c r="D215" i="4"/>
  <c r="D19" i="4"/>
  <c r="D22" i="4"/>
  <c r="D217" i="4"/>
  <c r="D66" i="4"/>
  <c r="D137" i="4"/>
  <c r="D138" i="4" s="1"/>
  <c r="E205" i="4"/>
  <c r="F205" i="4" s="1"/>
  <c r="I19" i="6"/>
  <c r="F168" i="4"/>
  <c r="I17" i="6" s="1"/>
  <c r="K47" i="4"/>
  <c r="D47" i="4" s="1"/>
  <c r="K46" i="4"/>
  <c r="D46" i="4" s="1"/>
  <c r="D219" i="4"/>
  <c r="D20" i="4" l="1"/>
  <c r="K25" i="4" s="1"/>
  <c r="D53" i="4"/>
  <c r="K54" i="4" s="1"/>
  <c r="K55" i="4" s="1"/>
  <c r="K58" i="4" s="1"/>
  <c r="D58" i="4" s="1"/>
  <c r="D64" i="4"/>
  <c r="K65" i="4" s="1"/>
  <c r="K108" i="4"/>
  <c r="K109" i="4" s="1"/>
  <c r="K137" i="4"/>
  <c r="K138" i="4" s="1"/>
  <c r="K139" i="4" s="1"/>
  <c r="D141" i="4" s="1"/>
  <c r="D132" i="4"/>
  <c r="E129" i="4" s="1"/>
  <c r="E204" i="4"/>
  <c r="F204" i="4" s="1"/>
  <c r="D48" i="4"/>
  <c r="K26" i="4" l="1"/>
  <c r="K27" i="4" s="1"/>
  <c r="D25" i="4" s="1"/>
  <c r="K66" i="4"/>
  <c r="K68" i="4" s="1"/>
  <c r="D69" i="4" s="1"/>
  <c r="K57" i="4"/>
  <c r="D57" i="4" s="1"/>
  <c r="K112" i="4"/>
  <c r="D112" i="4" s="1"/>
  <c r="K110" i="4"/>
  <c r="D110" i="4" s="1"/>
  <c r="K111" i="4"/>
  <c r="D111" i="4" s="1"/>
  <c r="K56" i="4"/>
  <c r="D56" i="4" s="1"/>
  <c r="E131" i="4"/>
  <c r="E130" i="4"/>
  <c r="E115" i="4"/>
  <c r="K140" i="4"/>
  <c r="D142" i="4" s="1"/>
  <c r="D143" i="4" s="1"/>
  <c r="D135" i="4" s="1"/>
  <c r="D44" i="4"/>
  <c r="E47" i="4"/>
  <c r="E46" i="4"/>
  <c r="E45" i="4"/>
  <c r="D128" i="4"/>
  <c r="E85" i="8" s="1"/>
  <c r="G85" i="8" s="1"/>
  <c r="K29" i="4" l="1"/>
  <c r="D27" i="4" s="1"/>
  <c r="F135" i="4"/>
  <c r="E200" i="4" s="1"/>
  <c r="E87" i="8"/>
  <c r="F44" i="4"/>
  <c r="E43" i="8"/>
  <c r="G43" i="8" s="1"/>
  <c r="K28" i="4"/>
  <c r="D26" i="4" s="1"/>
  <c r="D181" i="4" s="1"/>
  <c r="K69" i="4"/>
  <c r="D70" i="4" s="1"/>
  <c r="D59" i="4"/>
  <c r="E58" i="4" s="1"/>
  <c r="K67" i="4"/>
  <c r="D68" i="4" s="1"/>
  <c r="E128" i="4"/>
  <c r="D113" i="4"/>
  <c r="E111" i="4" s="1"/>
  <c r="E44" i="4"/>
  <c r="E142" i="4"/>
  <c r="E112" i="4"/>
  <c r="F128" i="4"/>
  <c r="E136" i="4"/>
  <c r="E140" i="4"/>
  <c r="E139" i="4"/>
  <c r="E138" i="4"/>
  <c r="E137" i="4"/>
  <c r="E81" i="8"/>
  <c r="G81" i="8" s="1"/>
  <c r="E141" i="4"/>
  <c r="E57" i="4" l="1"/>
  <c r="D50" i="4"/>
  <c r="D28" i="4"/>
  <c r="E91" i="8"/>
  <c r="G91" i="8" s="1"/>
  <c r="E92" i="8"/>
  <c r="G92" i="8" s="1"/>
  <c r="E89" i="8"/>
  <c r="G89" i="8" s="1"/>
  <c r="E88" i="8"/>
  <c r="G88" i="8" s="1"/>
  <c r="E90" i="8"/>
  <c r="G90" i="8" s="1"/>
  <c r="G87" i="8"/>
  <c r="E52" i="4"/>
  <c r="D71" i="4"/>
  <c r="E63" i="4" s="1"/>
  <c r="E54" i="4"/>
  <c r="E56" i="4"/>
  <c r="E53" i="4"/>
  <c r="E55" i="4"/>
  <c r="E51" i="4"/>
  <c r="E107" i="4"/>
  <c r="E135" i="4"/>
  <c r="E110" i="4"/>
  <c r="E108" i="4"/>
  <c r="E105" i="4"/>
  <c r="E106" i="4"/>
  <c r="E109" i="4"/>
  <c r="D104" i="4"/>
  <c r="E82" i="8" s="1"/>
  <c r="G82" i="8" s="1"/>
  <c r="I11" i="6"/>
  <c r="F50" i="4"/>
  <c r="E25" i="4" l="1"/>
  <c r="D17" i="4"/>
  <c r="E19" i="4"/>
  <c r="E22" i="4"/>
  <c r="E18" i="4"/>
  <c r="E26" i="4"/>
  <c r="E44" i="8"/>
  <c r="G44" i="8" s="1"/>
  <c r="E55" i="8"/>
  <c r="E47" i="8"/>
  <c r="G47" i="8" s="1"/>
  <c r="E49" i="8"/>
  <c r="G49" i="8" s="1"/>
  <c r="E51" i="8"/>
  <c r="G51" i="8" s="1"/>
  <c r="E53" i="8"/>
  <c r="E56" i="8"/>
  <c r="G56" i="8" s="1"/>
  <c r="Q48" i="8" s="1"/>
  <c r="E46" i="8"/>
  <c r="G46" i="8" s="1"/>
  <c r="E48" i="8"/>
  <c r="G48" i="8" s="1"/>
  <c r="E50" i="8"/>
  <c r="G50" i="8" s="1"/>
  <c r="E52" i="8"/>
  <c r="G52" i="8" s="1"/>
  <c r="E45" i="8"/>
  <c r="G45" i="8" s="1"/>
  <c r="E21" i="4"/>
  <c r="E23" i="4"/>
  <c r="Q46" i="8"/>
  <c r="Q49" i="8"/>
  <c r="Q51" i="8"/>
  <c r="Q45" i="8"/>
  <c r="E18" i="8"/>
  <c r="G18" i="8" s="1"/>
  <c r="E24" i="4"/>
  <c r="E20" i="4"/>
  <c r="E27" i="4"/>
  <c r="E20" i="8"/>
  <c r="G20" i="8" s="1"/>
  <c r="E29" i="8"/>
  <c r="G29" i="8" s="1"/>
  <c r="E68" i="4"/>
  <c r="D61" i="4"/>
  <c r="F61" i="4" s="1"/>
  <c r="E50" i="4"/>
  <c r="E70" i="4"/>
  <c r="E69" i="4"/>
  <c r="E65" i="4"/>
  <c r="E67" i="4"/>
  <c r="E64" i="4"/>
  <c r="E66" i="4"/>
  <c r="E62" i="4"/>
  <c r="F104" i="4"/>
  <c r="E104" i="4"/>
  <c r="F200" i="4"/>
  <c r="Q47" i="8" l="1"/>
  <c r="E24" i="8"/>
  <c r="G24" i="8" s="1"/>
  <c r="Q52" i="8"/>
  <c r="Q50" i="8"/>
  <c r="E17" i="4"/>
  <c r="E27" i="8"/>
  <c r="G27" i="8" s="1"/>
  <c r="D134" i="4"/>
  <c r="E76" i="8"/>
  <c r="E74" i="8"/>
  <c r="E72" i="8"/>
  <c r="E70" i="8"/>
  <c r="E68" i="8"/>
  <c r="E61" i="8"/>
  <c r="E64" i="8"/>
  <c r="E66" i="8"/>
  <c r="E77" i="8"/>
  <c r="E75" i="8"/>
  <c r="E73" i="8"/>
  <c r="E71" i="8"/>
  <c r="E69" i="8"/>
  <c r="E60" i="8"/>
  <c r="E63" i="8"/>
  <c r="G63" i="8" s="1"/>
  <c r="E65" i="8"/>
  <c r="E62" i="8"/>
  <c r="E54" i="8"/>
  <c r="G54" i="8" s="1"/>
  <c r="G55" i="8"/>
  <c r="E19" i="8"/>
  <c r="G19" i="8" s="1"/>
  <c r="E25" i="8"/>
  <c r="G25" i="8" s="1"/>
  <c r="E28" i="8"/>
  <c r="G28" i="8" s="1"/>
  <c r="F17" i="4"/>
  <c r="E16" i="8"/>
  <c r="G16" i="8" s="1"/>
  <c r="E17" i="8"/>
  <c r="G17" i="8" s="1"/>
  <c r="E31" i="8"/>
  <c r="G31" i="8" s="1"/>
  <c r="E21" i="8"/>
  <c r="G21" i="8" s="1"/>
  <c r="E23" i="8"/>
  <c r="G23" i="8" s="1"/>
  <c r="G22" i="8" s="1"/>
  <c r="F31" i="8"/>
  <c r="F14" i="8" s="1"/>
  <c r="Q44" i="8"/>
  <c r="E61" i="4"/>
  <c r="E15" i="8" l="1"/>
  <c r="G15" i="8"/>
  <c r="E22" i="8"/>
  <c r="M45" i="8"/>
  <c r="M46" i="8"/>
  <c r="E67" i="8"/>
  <c r="G67" i="8" s="1"/>
  <c r="E59" i="8"/>
  <c r="G59" i="8" s="1"/>
  <c r="G60" i="8"/>
  <c r="F134" i="4"/>
  <c r="G14" i="8"/>
  <c r="E14" i="8"/>
  <c r="K147" i="4"/>
  <c r="I9" i="6" l="1"/>
  <c r="L60" i="8"/>
  <c r="N60" i="8"/>
  <c r="T60" i="8" s="1"/>
  <c r="O60" i="8"/>
  <c r="U60" i="8" s="1"/>
  <c r="M60" i="8"/>
  <c r="S60" i="8" s="1"/>
  <c r="M47" i="8"/>
  <c r="E199" i="4"/>
  <c r="F199" i="4" s="1"/>
  <c r="G65" i="8"/>
  <c r="G64" i="8"/>
  <c r="G61" i="8"/>
  <c r="G62" i="8"/>
  <c r="G66" i="8"/>
  <c r="G71" i="8"/>
  <c r="G75" i="8"/>
  <c r="G70" i="8"/>
  <c r="G74" i="8"/>
  <c r="G69" i="8"/>
  <c r="G73" i="8"/>
  <c r="G77" i="8"/>
  <c r="G72" i="8"/>
  <c r="G76" i="8"/>
  <c r="K149" i="4"/>
  <c r="D148" i="4" s="1"/>
  <c r="K148" i="4"/>
  <c r="D147" i="4" s="1"/>
  <c r="P60" i="8" l="1"/>
  <c r="R60" i="8"/>
  <c r="V60" i="8" s="1"/>
  <c r="M71" i="8"/>
  <c r="S71" i="8" s="1"/>
  <c r="N71" i="8"/>
  <c r="T71" i="8" s="1"/>
  <c r="L71" i="8"/>
  <c r="M62" i="8"/>
  <c r="S62" i="8" s="1"/>
  <c r="N62" i="8"/>
  <c r="T62" i="8" s="1"/>
  <c r="L62" i="8"/>
  <c r="G68" i="8"/>
  <c r="D149" i="4"/>
  <c r="P62" i="8" l="1"/>
  <c r="R62" i="8"/>
  <c r="V62" i="8" s="1"/>
  <c r="N68" i="8"/>
  <c r="T68" i="8" s="1"/>
  <c r="L68" i="8"/>
  <c r="M68" i="8"/>
  <c r="S68" i="8" s="1"/>
  <c r="P71" i="8"/>
  <c r="R71" i="8"/>
  <c r="V71" i="8" s="1"/>
  <c r="E148" i="4"/>
  <c r="E146" i="4"/>
  <c r="D145" i="4"/>
  <c r="E147" i="4"/>
  <c r="R68" i="8" l="1"/>
  <c r="V68" i="8" s="1"/>
  <c r="P68" i="8"/>
  <c r="E93" i="8"/>
  <c r="G93" i="8" s="1"/>
  <c r="E145" i="4"/>
  <c r="F145" i="4"/>
  <c r="I13" i="6" l="1"/>
  <c r="E201" i="4"/>
  <c r="F201" i="4" l="1"/>
  <c r="D158" i="4"/>
  <c r="D179" i="4" s="1"/>
  <c r="D159" i="4"/>
  <c r="D180" i="4" l="1"/>
  <c r="D160" i="4"/>
  <c r="D178" i="4" s="1"/>
  <c r="D156" i="4" l="1"/>
  <c r="D175" i="4" l="1"/>
  <c r="F156" i="4"/>
  <c r="F175" i="4" s="1"/>
  <c r="E95" i="8"/>
  <c r="G95" i="8" s="1"/>
  <c r="I21" i="6" l="1"/>
  <c r="I15" i="6"/>
  <c r="E203" i="4"/>
  <c r="E206" i="4" s="1"/>
  <c r="F203" i="4" l="1"/>
  <c r="F206" i="4" l="1"/>
  <c r="E210" i="4"/>
  <c r="F210" i="4" s="1"/>
  <c r="E209" i="4"/>
  <c r="F209" i="4" s="1"/>
  <c r="E211" i="4"/>
  <c r="F211" i="4" s="1"/>
  <c r="F65" i="8" l="1"/>
  <c r="F64" i="8"/>
  <c r="F66" i="8"/>
  <c r="F63" i="8"/>
  <c r="E58" i="8"/>
  <c r="E57" i="8" l="1"/>
  <c r="E86" i="8" s="1"/>
  <c r="E99" i="8" s="1"/>
  <c r="G58" i="8"/>
  <c r="J86" i="8" l="1"/>
  <c r="J99" i="8"/>
  <c r="F71" i="8"/>
  <c r="F72" i="8"/>
  <c r="F73" i="8"/>
  <c r="F77" i="8"/>
  <c r="F75" i="8"/>
  <c r="F76" i="8"/>
  <c r="F74" i="8"/>
  <c r="G57" i="8"/>
  <c r="G86" i="8" l="1"/>
  <c r="G99" i="8" s="1"/>
</calcChain>
</file>

<file path=xl/sharedStrings.xml><?xml version="1.0" encoding="utf-8"?>
<sst xmlns="http://schemas.openxmlformats.org/spreadsheetml/2006/main" count="685" uniqueCount="375">
  <si>
    <t xml:space="preserve">Приложение к протоколу </t>
  </si>
  <si>
    <t>общего собрания собственников</t>
  </si>
  <si>
    <r>
      <t xml:space="preserve">№ </t>
    </r>
    <r>
      <rPr>
        <u/>
        <sz val="20"/>
        <color indexed="8"/>
        <rFont val="Calibri"/>
        <family val="2"/>
        <charset val="204"/>
      </rPr>
      <t>б/н</t>
    </r>
    <r>
      <rPr>
        <sz val="20"/>
        <color indexed="8"/>
        <rFont val="Calibri"/>
        <family val="2"/>
        <charset val="204"/>
      </rPr>
      <t xml:space="preserve"> от </t>
    </r>
    <r>
      <rPr>
        <u/>
        <sz val="20"/>
        <color indexed="8"/>
        <rFont val="Calibri"/>
        <family val="2"/>
        <charset val="204"/>
      </rPr>
      <t>_________________</t>
    </r>
    <r>
      <rPr>
        <sz val="20"/>
        <color indexed="8"/>
        <rFont val="Calibri"/>
        <family val="2"/>
        <charset val="204"/>
      </rPr>
      <t xml:space="preserve"> 201___г.</t>
    </r>
  </si>
  <si>
    <t xml:space="preserve">Адрес </t>
  </si>
  <si>
    <t xml:space="preserve">тип </t>
  </si>
  <si>
    <t>многоквартирный дом</t>
  </si>
  <si>
    <t>этажность</t>
  </si>
  <si>
    <t>количество проживающих</t>
  </si>
  <si>
    <t>Количество квартир</t>
  </si>
  <si>
    <t>Общая площадь  помещений, в том числе:</t>
  </si>
  <si>
    <t>Площадь жилых помещений</t>
  </si>
  <si>
    <t>Площадь нежилых помещений</t>
  </si>
  <si>
    <t>Статьи расходов</t>
  </si>
  <si>
    <t>Стоимость услуг, руб.</t>
  </si>
  <si>
    <t>Доля, %</t>
  </si>
  <si>
    <r>
      <t xml:space="preserve">Затраты </t>
    </r>
    <r>
      <rPr>
        <b/>
        <u/>
        <sz val="18"/>
        <color indexed="8"/>
        <rFont val="Calibri"/>
        <family val="2"/>
        <charset val="204"/>
      </rPr>
      <t xml:space="preserve">в месяц </t>
    </r>
    <r>
      <rPr>
        <sz val="18"/>
        <color indexed="8"/>
        <rFont val="Calibri"/>
        <family val="2"/>
        <charset val="204"/>
      </rPr>
      <t>на 1 кв.м. общей площади жилых помещений, руб.</t>
    </r>
  </si>
  <si>
    <t>Техническое обслуживание</t>
  </si>
  <si>
    <t>Фонд оплаты труда</t>
  </si>
  <si>
    <t>Резерв на отпуск, 8,3%</t>
  </si>
  <si>
    <t>Материалы</t>
  </si>
  <si>
    <t>Транспортные расходы, 5% от ФОТ</t>
  </si>
  <si>
    <t>S кровли</t>
  </si>
  <si>
    <t>Кол-во сбросов в год</t>
  </si>
  <si>
    <t>Сброс снега, сосулек с кровли</t>
  </si>
  <si>
    <t>% кровли</t>
  </si>
  <si>
    <t>Расценка на 1 кв.м. кровли</t>
  </si>
  <si>
    <t>Накладные расходы</t>
  </si>
  <si>
    <t>Расходы по начислению и приёму платежей</t>
  </si>
  <si>
    <t>Услуги по управлению многоквартирным домом</t>
  </si>
  <si>
    <t>Всего по себестоимости</t>
  </si>
  <si>
    <t>Рентабельность, 5%</t>
  </si>
  <si>
    <t>Аварийно-диспетчерское обслуживание</t>
  </si>
  <si>
    <t>Прямые затраты</t>
  </si>
  <si>
    <t>Санитарные работы  по содержанию помещений общего пользования</t>
  </si>
  <si>
    <t>Содержание земельного участка, входящего в состав общего имущества дома</t>
  </si>
  <si>
    <t>Вывоз снега</t>
  </si>
  <si>
    <t>Дератизация, дезинсекция</t>
  </si>
  <si>
    <t>Расходы по договору</t>
  </si>
  <si>
    <t>Вывоз и утилизация КГО</t>
  </si>
  <si>
    <t>Транспортные расходы</t>
  </si>
  <si>
    <t>Обслуживание приборов учета</t>
  </si>
  <si>
    <t>Поверка приборов учета</t>
  </si>
  <si>
    <t>Итого расходов по текущему содержанию</t>
  </si>
  <si>
    <t>Обслуживание мусоропровода</t>
  </si>
  <si>
    <t>Обслуживание лифтов</t>
  </si>
  <si>
    <t>Вывоз ТБО от населения</t>
  </si>
  <si>
    <t>Капитальный ремонт</t>
  </si>
  <si>
    <t>Текущий ремонт</t>
  </si>
  <si>
    <t>ВСЕГО расходов</t>
  </si>
  <si>
    <t xml:space="preserve">Фамилия И. О. </t>
  </si>
  <si>
    <t>№ кв.</t>
  </si>
  <si>
    <t>Подпись</t>
  </si>
  <si>
    <t>____________________________________________________________</t>
  </si>
  <si>
    <t>___________</t>
  </si>
  <si>
    <t>____________________</t>
  </si>
  <si>
    <t>Изменение стоимости услуг</t>
  </si>
  <si>
    <t>% роста</t>
  </si>
  <si>
    <t>Содержание жилья</t>
  </si>
  <si>
    <t>ИТОГО</t>
  </si>
  <si>
    <t>Изменение стоимости услуг на кв.м.</t>
  </si>
  <si>
    <t>Рост, руб.</t>
  </si>
  <si>
    <t>Фонд оплаты труда "на руки"</t>
  </si>
  <si>
    <t>Основные рабочие</t>
  </si>
  <si>
    <t>Уборщица</t>
  </si>
  <si>
    <t>Дворник</t>
  </si>
  <si>
    <t>Подсобный</t>
  </si>
  <si>
    <t>Мусоропроводчик</t>
  </si>
  <si>
    <t xml:space="preserve">Расчет численности </t>
  </si>
  <si>
    <t>периодичность выполнения работ, оказания услуг</t>
  </si>
  <si>
    <t>площадь жилых помещений</t>
  </si>
  <si>
    <t>площадь нежилых помещений</t>
  </si>
  <si>
    <t>№ п/п</t>
  </si>
  <si>
    <t>Наименование работ (услуг)</t>
  </si>
  <si>
    <t>2</t>
  </si>
  <si>
    <t>круглосуточно на системах водоснабжения, теплоснабжения, канализации, энергообеспечения</t>
  </si>
  <si>
    <t>2 раза в месяц</t>
  </si>
  <si>
    <t>1 раз в год</t>
  </si>
  <si>
    <t>2 раза в год</t>
  </si>
  <si>
    <t>1 раз в неделю</t>
  </si>
  <si>
    <t>Уборка земельного участка входящего в состав общего имущества дома</t>
  </si>
  <si>
    <t>4.1</t>
  </si>
  <si>
    <t>теплый период года</t>
  </si>
  <si>
    <t>4.1.1</t>
  </si>
  <si>
    <t>4.1.2</t>
  </si>
  <si>
    <t>50% территории 1 раз в двое суток в дни с осадками</t>
  </si>
  <si>
    <t>4.1.3</t>
  </si>
  <si>
    <t>1 раз в трое суток</t>
  </si>
  <si>
    <t>4.1.4</t>
  </si>
  <si>
    <t>4.1.5</t>
  </si>
  <si>
    <t>уборка контейнерной площадки</t>
  </si>
  <si>
    <t>5 раз в неделю</t>
  </si>
  <si>
    <t>4.1.6</t>
  </si>
  <si>
    <t>4.2</t>
  </si>
  <si>
    <t>холодный период года</t>
  </si>
  <si>
    <t>4.2.1</t>
  </si>
  <si>
    <t>4.2.2</t>
  </si>
  <si>
    <t>4.2.3</t>
  </si>
  <si>
    <t>4.2.4</t>
  </si>
  <si>
    <t>4.2.5</t>
  </si>
  <si>
    <t>4.2.6</t>
  </si>
  <si>
    <t>1 раз в месяц</t>
  </si>
  <si>
    <t>4.2.7</t>
  </si>
  <si>
    <t>5</t>
  </si>
  <si>
    <t>6</t>
  </si>
  <si>
    <t>по мере необходимости</t>
  </si>
  <si>
    <t>7</t>
  </si>
  <si>
    <t>ежемесячно по договору со специализированной организацией</t>
  </si>
  <si>
    <t>8</t>
  </si>
  <si>
    <t>9</t>
  </si>
  <si>
    <t>11</t>
  </si>
  <si>
    <t>12</t>
  </si>
  <si>
    <t>не реже одного раза в сутки</t>
  </si>
  <si>
    <t>13</t>
  </si>
  <si>
    <t>14</t>
  </si>
  <si>
    <t>Всего расходов</t>
  </si>
  <si>
    <t>влажное подметание мест перед загрузочными клапанами</t>
  </si>
  <si>
    <t>уборка газонов</t>
  </si>
  <si>
    <t>очистка участков территории от снега и наледи при механизированной уборке</t>
  </si>
  <si>
    <t>4.2.8</t>
  </si>
  <si>
    <t>4.2.9</t>
  </si>
  <si>
    <t>Удаление мусора из мусороприемных камер</t>
  </si>
  <si>
    <t>ежедневно</t>
  </si>
  <si>
    <t>Уборка мусороприемных камер</t>
  </si>
  <si>
    <t>Уборка загрузочных клапанов мусоропроводов</t>
  </si>
  <si>
    <t>уборка бункеров</t>
  </si>
  <si>
    <t>Устранение засора</t>
  </si>
  <si>
    <t>Согласно договору со специализированной организацией</t>
  </si>
  <si>
    <t>Уполномоченные</t>
  </si>
  <si>
    <t>Уважаемые жители!</t>
  </si>
  <si>
    <t xml:space="preserve">плата за жилищные услуги составит: </t>
  </si>
  <si>
    <t>руб./кв.м.</t>
  </si>
  <si>
    <t>Вывоз твердых бытовых отходов</t>
  </si>
  <si>
    <t>Всего на 1 кв.м.</t>
  </si>
  <si>
    <t>Фамилия И.О.</t>
  </si>
  <si>
    <t>кв.</t>
  </si>
  <si>
    <t>______________</t>
  </si>
  <si>
    <t>_______________________</t>
  </si>
  <si>
    <t>Совет уполномоченных дома</t>
  </si>
  <si>
    <t>Совет уполномоченных дома:</t>
  </si>
  <si>
    <t>Механизированная уборка</t>
  </si>
  <si>
    <t>Стоимость часа</t>
  </si>
  <si>
    <t>Кол-во часов в год</t>
  </si>
  <si>
    <t>Периодичность уборки</t>
  </si>
  <si>
    <t>Итого сумма в год</t>
  </si>
  <si>
    <t>Итого сумма в месяц</t>
  </si>
  <si>
    <t>Фонд оплаты труда на 1 единицу, руб.</t>
  </si>
  <si>
    <t>Численность рабочих, ед.</t>
  </si>
  <si>
    <t>Обслуживание лифтов (с учетом 1-го этажа)</t>
  </si>
  <si>
    <t>ПРЕДЛАГАЕМЫЙ К ОБСУЖДЕНИЮ</t>
  </si>
  <si>
    <t>Дератизация</t>
  </si>
  <si>
    <t>Стоимость за 1 кв.м.</t>
  </si>
  <si>
    <t>руб.</t>
  </si>
  <si>
    <t>Площадь подвала</t>
  </si>
  <si>
    <t>кв.м.</t>
  </si>
  <si>
    <t>ежемесячно</t>
  </si>
  <si>
    <t>Дезинсекция</t>
  </si>
  <si>
    <t>Дезинфекция</t>
  </si>
  <si>
    <t>1 раз в полугодие</t>
  </si>
  <si>
    <t>Стоимость обслуживания в мес.</t>
  </si>
  <si>
    <t>мес.</t>
  </si>
  <si>
    <t>Количество месяцев обслуживания</t>
  </si>
  <si>
    <t>Стоимость обслуживания в год</t>
  </si>
  <si>
    <t>Количество приборов учёта</t>
  </si>
  <si>
    <t>Стоимость обслуживания в месяц</t>
  </si>
  <si>
    <t>шт.</t>
  </si>
  <si>
    <t>Страховые взносы, 30,2%</t>
  </si>
  <si>
    <t>Материалы (п/с смесь, краска и т.п.)</t>
  </si>
  <si>
    <t>Завоз песка</t>
  </si>
  <si>
    <t>Завоз земли</t>
  </si>
  <si>
    <t>Завоз бутового камня</t>
  </si>
  <si>
    <t>Завоз отсева</t>
  </si>
  <si>
    <t>Дератизация, дезинсекция, дезинфекция</t>
  </si>
  <si>
    <t>Расходы по договорам</t>
  </si>
  <si>
    <t>Охрана труда, 2,84%</t>
  </si>
  <si>
    <t>2013 год</t>
  </si>
  <si>
    <t>Итого "Основных расходов"</t>
  </si>
  <si>
    <t>Итого "Накладных расходов"</t>
  </si>
  <si>
    <t>Итого "Услуг по управлению МКД"</t>
  </si>
  <si>
    <t>Итого "Расходов по начислению и приёму платежей"</t>
  </si>
  <si>
    <t>Оплата совета дома</t>
  </si>
  <si>
    <t>В том числе:</t>
  </si>
  <si>
    <t>ФОТ 2013 года</t>
  </si>
  <si>
    <t xml:space="preserve">Тип </t>
  </si>
  <si>
    <t>Многоквартирный дом</t>
  </si>
  <si>
    <t>Этажность</t>
  </si>
  <si>
    <t>Количество проживающих</t>
  </si>
  <si>
    <t>Сметная стоимость работ (за минусом остатков и прочих доходов)</t>
  </si>
  <si>
    <t>1.1</t>
  </si>
  <si>
    <t>1.2</t>
  </si>
  <si>
    <t>Промывка канализационной сети</t>
  </si>
  <si>
    <t>Расходы по договору  (5 часов в год)</t>
  </si>
  <si>
    <t xml:space="preserve">Стоимость 1-го часа </t>
  </si>
  <si>
    <t>Стоимость в год</t>
  </si>
  <si>
    <t>Стоимость в месяц</t>
  </si>
  <si>
    <t>Завоз сыпучих материалов</t>
  </si>
  <si>
    <t>Кол-во машин</t>
  </si>
  <si>
    <t>Ст-ть машины</t>
  </si>
  <si>
    <t>Ст-ть в год</t>
  </si>
  <si>
    <t>Ст-ть в месяц</t>
  </si>
  <si>
    <t>4.3</t>
  </si>
  <si>
    <t>Инвентарь, 3,51%</t>
  </si>
  <si>
    <t>Инвентарь, 2,04%</t>
  </si>
  <si>
    <t>Инвентарь, 4,85%</t>
  </si>
  <si>
    <t>Инвентарь, 1,30%</t>
  </si>
  <si>
    <t>Охрана труда, 2,15%</t>
  </si>
  <si>
    <t>Охрана труда, 2,31%</t>
  </si>
  <si>
    <t>Охрана труда, 1,36%</t>
  </si>
  <si>
    <t xml:space="preserve">                                                Охрана труда, </t>
  </si>
  <si>
    <t>ЖЭУ</t>
  </si>
  <si>
    <t>%</t>
  </si>
  <si>
    <t>Лада</t>
  </si>
  <si>
    <t>Охрана труда</t>
  </si>
  <si>
    <t>Рост на 4%</t>
  </si>
  <si>
    <t>2014 год</t>
  </si>
  <si>
    <t>ФОТ 2014 года</t>
  </si>
  <si>
    <t>1.</t>
  </si>
  <si>
    <t>1.1.</t>
  </si>
  <si>
    <t>2 раз в год</t>
  </si>
  <si>
    <t>1.2.</t>
  </si>
  <si>
    <t>Технический осмотр конструктивных элемнтов здания в комплексе (окна, двери, фундамент, фасада здания, внутрення отделка стен, устройства мусоропровода, деревянные, каменные  конструкции) с составлением деффектно-сметной ведомости</t>
  </si>
  <si>
    <t>1.3.</t>
  </si>
  <si>
    <t>1.4.</t>
  </si>
  <si>
    <t>Технический осмотр систем (нижний и (или) верхний розливы, состояние запорной арматуры)  отопления</t>
  </si>
  <si>
    <t>1.5.</t>
  </si>
  <si>
    <t>Магисталей холодного и горячего водоснабжения, канализации</t>
  </si>
  <si>
    <t>1.6.</t>
  </si>
  <si>
    <t>Проверка исправности канализационных вытяжек</t>
  </si>
  <si>
    <t>2.</t>
  </si>
  <si>
    <t>Работы, выполняемые при подготовке жилых зданий к сезонной эксплуатации</t>
  </si>
  <si>
    <t>2.1.</t>
  </si>
  <si>
    <t>ППР (планово-предупредительные работы) электрооборудования, проверка заземления оболочки электрокабеля, замеры сопротивления изоляции проводов</t>
  </si>
  <si>
    <t>по графику</t>
  </si>
  <si>
    <t>2.2.</t>
  </si>
  <si>
    <t>Консервация, расконсервирование и ремонт поливочной системы</t>
  </si>
  <si>
    <t>1 раз в год:  весенне-летний, консервация - осен.зим.пер.</t>
  </si>
  <si>
    <t>2.3.</t>
  </si>
  <si>
    <t>Регулировка, наладка и испытания систем  отопления</t>
  </si>
  <si>
    <t xml:space="preserve">1 раз в год, испытание 2 раза в год; </t>
  </si>
  <si>
    <t>2.4.</t>
  </si>
  <si>
    <t>Промывка и опрессовка системы центрального отопления</t>
  </si>
  <si>
    <t>1 раз в год осенне -зимний период</t>
  </si>
  <si>
    <t>2.5.</t>
  </si>
  <si>
    <t>Очистка чердачного и подвального помещения от мелкого мусора</t>
  </si>
  <si>
    <t>2.6.</t>
  </si>
  <si>
    <t>Очистка кровель от мусора, грязи</t>
  </si>
  <si>
    <t>2.7.</t>
  </si>
  <si>
    <t>по мере необходимости в зимний, весенний период</t>
  </si>
  <si>
    <t>2.8.</t>
  </si>
  <si>
    <t>3.</t>
  </si>
  <si>
    <t>Проверка состояния продухов в цоколях зданий, мелкий ремонт</t>
  </si>
  <si>
    <t>Замена разбитых стекол окон в помещениях общего пользования</t>
  </si>
  <si>
    <t xml:space="preserve">Мелкий ремонт и укрепление входных, тамбурных и подвальных дверей. </t>
  </si>
  <si>
    <t>Подсыпка просевших отмосток</t>
  </si>
  <si>
    <t xml:space="preserve">Мелкий ремонт, побелка контейнерных площадок. </t>
  </si>
  <si>
    <t xml:space="preserve">Укрепление трубопроводов, Малый ремонт изоляции трубопроводов в подвальных  помещениях. Подготовка ТУ (окраска, побелка помещений, устройство трапов). Устранение незначительных неисправностей, замена и восстановление работоспособности отдельных элементов в системах отопления, холодного и горячего водоснабжения, канализации. Прочистка засоров магистрального трубопровода канализации </t>
  </si>
  <si>
    <t>Устранение незначительных неисправностей электротехничеких устройств (закрытие электрощитовых, этажных эл.щитков, распределительных коробок на л/клетках; смена перегоревших электролампочек в помещениях общественного пользования, уличного освещения;  смена и ремонт эл.патронов и выключателей, мелкий ремонт электропроводки)</t>
  </si>
  <si>
    <t xml:space="preserve">Мелкий ремонт мусокоприемных клапанов, бункеров, шиберных устройств, стволов </t>
  </si>
  <si>
    <t>I.</t>
  </si>
  <si>
    <t xml:space="preserve"> 1 раз в год или по мере необходимости </t>
  </si>
  <si>
    <t>(5 часов  в год)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</si>
  <si>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</si>
  <si>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</si>
  <si>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</si>
  <si>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</si>
  <si>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</si>
  <si>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</si>
  <si>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</si>
  <si>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</si>
  <si>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</si>
  <si>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 раза в неделю</t>
  </si>
  <si>
    <t>4.2.10</t>
  </si>
  <si>
    <t>Завоз сыпучих материалов (песок, земля, бутовый камень)</t>
  </si>
  <si>
    <t>4.4.</t>
  </si>
  <si>
    <t>4.5.</t>
  </si>
  <si>
    <t>4.</t>
  </si>
  <si>
    <t>16</t>
  </si>
  <si>
    <t>17</t>
  </si>
  <si>
    <t>Предлагаемый рост на 2014 год</t>
  </si>
  <si>
    <t>Шифр 17</t>
  </si>
  <si>
    <t>Обслуживание ППА (Противо-пожарная автоматика)</t>
  </si>
  <si>
    <t>Обслуживание ППА</t>
  </si>
  <si>
    <t>влажное подметание лестничных площадок и маршей нижних трех этажей.</t>
  </si>
  <si>
    <t>влажное подметание лестничных площадок и маршей выше третьего этажа.</t>
  </si>
  <si>
    <t>2 раз в неделю</t>
  </si>
  <si>
    <t>мытье лестничных плошадок и маршей нижних трех этажей</t>
  </si>
  <si>
    <t>мытье лестничных площадок и маршей  выше третьего этажа</t>
  </si>
  <si>
    <t>2 раз в месяц</t>
  </si>
  <si>
    <t>Мытье полов кабины лифта</t>
  </si>
  <si>
    <t>2 раза в неделю</t>
  </si>
  <si>
    <t>Влажная протирка стен, дверей, плоафонов и потолков кабины лифта</t>
  </si>
  <si>
    <t xml:space="preserve">Мытье окон  </t>
  </si>
  <si>
    <t>Обметание пыли с потолков</t>
  </si>
  <si>
    <t>3.10.</t>
  </si>
  <si>
    <t>Влажная протирка элементов лестничных клеток жилых домов</t>
  </si>
  <si>
    <t>-</t>
  </si>
  <si>
    <t>подоконников, отопитеьных приборов</t>
  </si>
  <si>
    <t>стен,дверей, плафонов на лестничных клеток,оконных решоток, чердачных лестниц,, шкафов для электросчетчиков и слаботочных устройств, почтовых ящиков</t>
  </si>
  <si>
    <t>подметание территории в дни без осадков или с осадками до 2 см</t>
  </si>
  <si>
    <t>отмостка, тратуары - 1 раз в двое суток, асфальт - 1 раз в сутки</t>
  </si>
  <si>
    <t>частичная уборка терриитории в дни с осадками более 2 см.</t>
  </si>
  <si>
    <t>Подметание ступеней и площадок</t>
  </si>
  <si>
    <t>1 раз в сутки</t>
  </si>
  <si>
    <t>Мойка территории с усовершенствованными покрытиями</t>
  </si>
  <si>
    <t>2 раза за период</t>
  </si>
  <si>
    <t>4.1.7</t>
  </si>
  <si>
    <t>очистка урн от мусора</t>
  </si>
  <si>
    <t>подметание территории в дни без осадков и с осадками</t>
  </si>
  <si>
    <t>1 раз в двое суток</t>
  </si>
  <si>
    <t>сдвигание свежевыпавшего снега в дни сильных снегопадов</t>
  </si>
  <si>
    <t>посыпка территории песком</t>
  </si>
  <si>
    <t>2 раза в сутки в дни голлоледа  (20 раза в год)</t>
  </si>
  <si>
    <t>очистка территории с усовершенствованными покрытиями от уплотненного снега  - 30% от площади</t>
  </si>
  <si>
    <t>по мере необходимости (1 раз в неделю)</t>
  </si>
  <si>
    <t>Очистка от наледи и льда крышек люков пожарных колодцев</t>
  </si>
  <si>
    <t>Очистка от наледи и льда  водостоков</t>
  </si>
  <si>
    <t>в труднодоступных местах</t>
  </si>
  <si>
    <t>сметание снега со ступеней и площадок перед входом в подъезд</t>
  </si>
  <si>
    <t>5 раза в неделю</t>
  </si>
  <si>
    <t>__________часов в год</t>
  </si>
  <si>
    <t>подоконники</t>
  </si>
  <si>
    <t>стен</t>
  </si>
  <si>
    <t>от.приборы</t>
  </si>
  <si>
    <t>дверей</t>
  </si>
  <si>
    <t>плафонов на лестничных клеток</t>
  </si>
  <si>
    <t>оконных решоток</t>
  </si>
  <si>
    <t xml:space="preserve"> чердачных лестниц</t>
  </si>
  <si>
    <t>шкафов для электросчетчиков и слаботочных устройств,</t>
  </si>
  <si>
    <t>почтовых ящиков</t>
  </si>
  <si>
    <t>перила</t>
  </si>
  <si>
    <t>4.1.1.</t>
  </si>
  <si>
    <t>1 класс</t>
  </si>
  <si>
    <t>2 класс</t>
  </si>
  <si>
    <t>3 класс</t>
  </si>
  <si>
    <t>грунт</t>
  </si>
  <si>
    <t>колличество раз в месяц</t>
  </si>
  <si>
    <t>понижающие коэффициенты</t>
  </si>
  <si>
    <t>4.1.2.</t>
  </si>
  <si>
    <t>4.1.3.</t>
  </si>
  <si>
    <t>понижающий коэффициент</t>
  </si>
  <si>
    <t>4.2.1.</t>
  </si>
  <si>
    <t>4.2.2.</t>
  </si>
  <si>
    <t>УКАЗАТЬ ЗАВОЗ ЧЕГО</t>
  </si>
  <si>
    <t>!!!</t>
  </si>
  <si>
    <t>Технический осмотр кровли с с внутренним водостоком (ж/б )</t>
  </si>
  <si>
    <t xml:space="preserve">проведение технических осмотров общедомовых электрических сетей, этажные щитки,  ВРУ, светильников </t>
  </si>
  <si>
    <t>Сброс снега, сосоулек с крыши. Очистка кровель от снега в местах протечек, от наледи вокруг водосточных воронок, очистка козырьков от снега и наледи</t>
  </si>
  <si>
    <t>Промывка канализационной сети (5 часов  в год)</t>
  </si>
  <si>
    <t>Проверка наличия тяги в вентиляционных каналов (по заявкам)</t>
  </si>
  <si>
    <t>Мелкий ремонт кровли  в местах протечек: промазка, проклейка стыков плит, примыканий, ремонт стяжки, установка в/воронок</t>
  </si>
  <si>
    <t>Мелкий ремонт цементных полов, лестниц, ограждений в подъездах. Укреплание парапетных ограждений</t>
  </si>
  <si>
    <t>Мелкий ремонт детского оборудовая, лавочек, урн, окраска форм. Для панельных домов: отбивка опасных для обрушения  мест (кромки козырьков, балконов  и пр.),  мелкий ремонт цоколя,  частичное бетонирование крылец, ступений входов</t>
  </si>
  <si>
    <t>в т.ч. Услуги по управлению многоквартирным домом</t>
  </si>
  <si>
    <t>Работы, выполняемые после проведении технических осмотров и по заявкам (по мере необходимости в пределах суммы)</t>
  </si>
  <si>
    <t>Проведение технических осмотров</t>
  </si>
  <si>
    <r>
      <t xml:space="preserve">№ </t>
    </r>
    <r>
      <rPr>
        <u/>
        <sz val="16"/>
        <color indexed="8"/>
        <rFont val="Calibri"/>
        <family val="2"/>
        <charset val="204"/>
        <scheme val="minor"/>
      </rPr>
      <t>б/н</t>
    </r>
    <r>
      <rPr>
        <sz val="16"/>
        <color indexed="8"/>
        <rFont val="Calibri"/>
        <family val="2"/>
        <charset val="204"/>
        <scheme val="minor"/>
      </rPr>
      <t xml:space="preserve"> от </t>
    </r>
    <r>
      <rPr>
        <u/>
        <sz val="16"/>
        <color indexed="8"/>
        <rFont val="Calibri"/>
        <family val="2"/>
        <charset val="204"/>
        <scheme val="minor"/>
      </rPr>
      <t>_________________</t>
    </r>
    <r>
      <rPr>
        <sz val="16"/>
        <color indexed="8"/>
        <rFont val="Calibri"/>
        <family val="2"/>
        <charset val="204"/>
        <scheme val="minor"/>
      </rPr>
      <t xml:space="preserve"> 201___г.</t>
    </r>
  </si>
  <si>
    <r>
      <t xml:space="preserve">Стоимость работ и услуг в </t>
    </r>
    <r>
      <rPr>
        <u/>
        <sz val="11"/>
        <color indexed="8"/>
        <rFont val="Calibri"/>
        <family val="2"/>
        <charset val="204"/>
        <scheme val="minor"/>
      </rPr>
      <t>год</t>
    </r>
    <r>
      <rPr>
        <b/>
        <u/>
        <sz val="11"/>
        <color indexed="8"/>
        <rFont val="Calibri"/>
        <family val="2"/>
        <charset val="204"/>
        <scheme val="minor"/>
      </rPr>
      <t>,</t>
    </r>
    <r>
      <rPr>
        <sz val="11"/>
        <color theme="1"/>
        <rFont val="Calibri"/>
        <family val="2"/>
        <charset val="204"/>
        <scheme val="minor"/>
      </rPr>
      <t xml:space="preserve"> руб.</t>
    </r>
  </si>
  <si>
    <r>
      <t xml:space="preserve">Стоимость работ и услуг </t>
    </r>
    <r>
      <rPr>
        <b/>
        <u/>
        <sz val="11"/>
        <color indexed="8"/>
        <rFont val="Calibri"/>
        <family val="2"/>
        <charset val="204"/>
        <scheme val="minor"/>
      </rPr>
      <t xml:space="preserve">в месяц </t>
    </r>
    <r>
      <rPr>
        <sz val="11"/>
        <color theme="1"/>
        <rFont val="Calibri"/>
        <family val="2"/>
        <charset val="204"/>
        <scheme val="minor"/>
      </rPr>
      <t>на 1 кв.м. площади помещений, руб.</t>
    </r>
  </si>
  <si>
    <t>____________________________________________________________________________________________________________________</t>
  </si>
  <si>
    <t>Обслуживание и поверка приборов учета тепловой энергии и воды, итп</t>
  </si>
  <si>
    <t>Обслуживание общедомовых приборов учета, и ИТП</t>
  </si>
  <si>
    <t>Обслуживание видеонаблюдения</t>
  </si>
  <si>
    <t>Обслуживание шлагбаума</t>
  </si>
  <si>
    <t>10</t>
  </si>
  <si>
    <t>10.1</t>
  </si>
  <si>
    <t>10.2</t>
  </si>
  <si>
    <t>10.3</t>
  </si>
  <si>
    <t>10.4</t>
  </si>
  <si>
    <t>С 01 января 2015 года в нашем доме по адресу:</t>
  </si>
  <si>
    <t xml:space="preserve">Охрана территории ЖК </t>
  </si>
  <si>
    <t>охрана территории Жилого дома</t>
  </si>
  <si>
    <t>Расчет  затрат по содержанию общего имущества МКД на 2018 год</t>
  </si>
  <si>
    <t>Обская,82</t>
  </si>
  <si>
    <t>19-20</t>
  </si>
  <si>
    <t>Перечень работ и услуг по содержанию и ремонту общего имущества в многоквартирном доме и их стоимость на 2018 год</t>
  </si>
  <si>
    <t>Адриена Лежена,10/2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</si>
</sst>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"/>
    <numFmt numFmtId="165" formatCode="0.00000000"/>
    <numFmt numFmtId="166" formatCode="0.0000"/>
    <numFmt numFmtId="167" formatCode="0.0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u/>
      <sz val="20"/>
      <color indexed="8"/>
      <name val="Calibri"/>
      <family val="2"/>
      <charset val="204"/>
    </font>
    <font>
      <b/>
      <i/>
      <sz val="2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u/>
      <sz val="18"/>
      <color indexed="8"/>
      <name val="Calibri"/>
      <family val="2"/>
      <charset val="204"/>
    </font>
    <font>
      <b/>
      <i/>
      <sz val="18"/>
      <color theme="4" tint="-0.499984740745262"/>
      <name val="Calibri"/>
      <family val="2"/>
      <charset val="204"/>
    </font>
    <font>
      <sz val="18"/>
      <color theme="4" tint="-0.499984740745262"/>
      <name val="Calibri"/>
      <family val="2"/>
      <charset val="204"/>
    </font>
    <font>
      <b/>
      <i/>
      <sz val="14"/>
      <color theme="4" tint="-0.499984740745262"/>
      <name val="Calibri"/>
      <family val="2"/>
      <charset val="204"/>
    </font>
    <font>
      <b/>
      <i/>
      <sz val="20"/>
      <color theme="4" tint="-0.499984740745262"/>
      <name val="Calibri"/>
      <family val="2"/>
      <charset val="204"/>
    </font>
    <font>
      <b/>
      <i/>
      <sz val="11"/>
      <color theme="4" tint="-0.499984740745262"/>
      <name val="Calibri"/>
      <family val="2"/>
      <charset val="204"/>
    </font>
    <font>
      <sz val="22"/>
      <color theme="4" tint="-0.499984740745262"/>
      <name val="Calibri"/>
      <family val="2"/>
      <charset val="204"/>
    </font>
    <font>
      <sz val="18"/>
      <name val="Calibri"/>
      <family val="2"/>
      <charset val="204"/>
    </font>
    <font>
      <b/>
      <sz val="18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theme="4" tint="-0.499984740745262"/>
      <name val="Calibri"/>
      <family val="2"/>
      <charset val="204"/>
    </font>
    <font>
      <sz val="28"/>
      <color indexed="8"/>
      <name val="Calibri"/>
      <family val="2"/>
      <charset val="204"/>
    </font>
    <font>
      <b/>
      <i/>
      <sz val="28"/>
      <color theme="4" tint="-0.499984740745262"/>
      <name val="Calibri"/>
      <family val="2"/>
      <charset val="204"/>
    </font>
    <font>
      <sz val="28"/>
      <color theme="4" tint="-0.499984740745262"/>
      <name val="Calibri"/>
      <family val="2"/>
      <charset val="204"/>
    </font>
    <font>
      <sz val="10"/>
      <name val="Arial Cyr"/>
      <charset val="204"/>
    </font>
    <font>
      <b/>
      <i/>
      <sz val="28"/>
      <color indexed="8"/>
      <name val="Script MT Bold"/>
      <family val="4"/>
    </font>
    <font>
      <b/>
      <i/>
      <sz val="18"/>
      <color indexed="8"/>
      <name val="Script MT Bold"/>
      <family val="4"/>
    </font>
    <font>
      <b/>
      <i/>
      <u/>
      <sz val="18"/>
      <color indexed="8"/>
      <name val="Script MT Bold"/>
      <family val="4"/>
    </font>
    <font>
      <b/>
      <i/>
      <sz val="28"/>
      <color theme="9" tint="-0.249977111117893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b/>
      <i/>
      <sz val="18"/>
      <color theme="3" tint="-0.249977111117893"/>
      <name val="Calibri"/>
      <family val="2"/>
      <charset val="204"/>
    </font>
    <font>
      <b/>
      <sz val="16"/>
      <color theme="4" tint="-0.499984740745262"/>
      <name val="Calibri"/>
      <family val="2"/>
      <charset val="204"/>
    </font>
    <font>
      <b/>
      <i/>
      <sz val="16"/>
      <color theme="3" tint="-0.249977111117893"/>
      <name val="Calibri"/>
      <family val="2"/>
      <charset val="204"/>
    </font>
    <font>
      <b/>
      <sz val="18"/>
      <name val="Calibri"/>
      <family val="2"/>
      <charset val="204"/>
    </font>
    <font>
      <b/>
      <sz val="15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8"/>
      <color rgb="FFFFFF00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theme="3" tint="-0.249977111117893"/>
      <name val="Calibri"/>
      <family val="2"/>
      <charset val="204"/>
    </font>
    <font>
      <b/>
      <i/>
      <sz val="14"/>
      <color rgb="FFFFFF00"/>
      <name val="Calibri"/>
      <family val="2"/>
      <charset val="204"/>
    </font>
    <font>
      <sz val="15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u/>
      <sz val="16"/>
      <color indexed="8"/>
      <name val="Calibri"/>
      <family val="2"/>
      <charset val="204"/>
      <scheme val="minor"/>
    </font>
    <font>
      <b/>
      <i/>
      <sz val="16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indexed="8"/>
      <name val="Calibri"/>
      <family val="2"/>
      <charset val="204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theme="4" tint="-0.249977111117893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theme="8" tint="0.39994506668294322"/>
      </left>
      <right style="medium">
        <color theme="8" tint="0.39994506668294322"/>
      </right>
      <top style="medium">
        <color theme="8" tint="0.39994506668294322"/>
      </top>
      <bottom style="medium">
        <color theme="8" tint="0.39994506668294322"/>
      </bottom>
      <diagonal/>
    </border>
    <border>
      <left/>
      <right/>
      <top style="medium">
        <color theme="8" tint="0.59999389629810485"/>
      </top>
      <bottom/>
      <diagonal/>
    </border>
    <border>
      <left style="medium">
        <color theme="8" tint="0.59999389629810485"/>
      </left>
      <right/>
      <top/>
      <bottom/>
      <diagonal/>
    </border>
    <border>
      <left style="medium">
        <color theme="8" tint="0.59999389629810485"/>
      </left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 style="medium">
        <color theme="8" tint="0.59999389629810485"/>
      </right>
      <top/>
      <bottom/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/>
      <diagonal/>
    </border>
    <border>
      <left style="medium">
        <color theme="8" tint="0.59999389629810485"/>
      </left>
      <right style="medium">
        <color theme="8" tint="0.59999389629810485"/>
      </right>
      <top/>
      <bottom/>
      <diagonal/>
    </border>
    <border>
      <left style="medium">
        <color theme="8" tint="0.59999389629810485"/>
      </left>
      <right style="medium">
        <color theme="8" tint="0.59999389629810485"/>
      </right>
      <top/>
      <bottom style="medium">
        <color theme="8" tint="0.59999389629810485"/>
      </bottom>
      <diagonal/>
    </border>
    <border>
      <left/>
      <right style="medium">
        <color rgb="FFFFC000"/>
      </right>
      <top/>
      <bottom/>
      <diagonal/>
    </border>
    <border>
      <left style="medium">
        <color rgb="FF00B050"/>
      </left>
      <right/>
      <top/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41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" fontId="3" fillId="0" borderId="2" xfId="1" applyNumberFormat="1" applyFont="1" applyFill="1" applyBorder="1" applyAlignment="1">
      <alignment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10" fillId="0" borderId="0" xfId="1" applyFont="1"/>
    <xf numFmtId="0" fontId="11" fillId="0" borderId="0" xfId="1" applyFont="1" applyFill="1" applyAlignment="1">
      <alignment horizontal="right"/>
    </xf>
    <xf numFmtId="0" fontId="3" fillId="0" borderId="0" xfId="1" applyFont="1" applyFill="1"/>
    <xf numFmtId="0" fontId="1" fillId="0" borderId="0" xfId="1" applyFont="1" applyFill="1"/>
    <xf numFmtId="0" fontId="10" fillId="0" borderId="0" xfId="1" applyFont="1" applyFill="1"/>
    <xf numFmtId="0" fontId="11" fillId="0" borderId="0" xfId="1" applyFont="1" applyAlignment="1">
      <alignment horizontal="right"/>
    </xf>
    <xf numFmtId="2" fontId="12" fillId="0" borderId="0" xfId="1" applyNumberFormat="1" applyFont="1" applyFill="1"/>
    <xf numFmtId="0" fontId="13" fillId="0" borderId="0" xfId="1" applyFont="1" applyFill="1"/>
    <xf numFmtId="0" fontId="14" fillId="0" borderId="0" xfId="1" applyFont="1"/>
    <xf numFmtId="2" fontId="10" fillId="0" borderId="0" xfId="1" applyNumberFormat="1" applyFont="1" applyFill="1"/>
    <xf numFmtId="0" fontId="1" fillId="0" borderId="0" xfId="1" applyFill="1"/>
    <xf numFmtId="0" fontId="14" fillId="0" borderId="0" xfId="1" applyFont="1" applyFill="1"/>
    <xf numFmtId="0" fontId="16" fillId="0" borderId="0" xfId="1" applyFont="1"/>
    <xf numFmtId="0" fontId="17" fillId="0" borderId="0" xfId="1" applyFont="1"/>
    <xf numFmtId="0" fontId="16" fillId="0" borderId="0" xfId="1" applyFont="1" applyFill="1"/>
    <xf numFmtId="0" fontId="17" fillId="0" borderId="0" xfId="1" applyFont="1" applyFill="1"/>
    <xf numFmtId="0" fontId="7" fillId="0" borderId="0" xfId="1" applyFont="1" applyFill="1"/>
    <xf numFmtId="0" fontId="18" fillId="0" borderId="0" xfId="1" applyFont="1" applyFill="1"/>
    <xf numFmtId="0" fontId="19" fillId="0" borderId="0" xfId="1" applyFont="1" applyFill="1"/>
    <xf numFmtId="2" fontId="1" fillId="0" borderId="0" xfId="1" applyNumberFormat="1" applyFill="1"/>
    <xf numFmtId="2" fontId="3" fillId="0" borderId="0" xfId="1" applyNumberFormat="1" applyFont="1" applyFill="1" applyAlignment="1">
      <alignment horizontal="center"/>
    </xf>
    <xf numFmtId="0" fontId="20" fillId="0" borderId="0" xfId="1" applyFont="1"/>
    <xf numFmtId="0" fontId="22" fillId="0" borderId="0" xfId="1" applyFont="1"/>
    <xf numFmtId="0" fontId="7" fillId="0" borderId="0" xfId="1" applyFont="1"/>
    <xf numFmtId="0" fontId="19" fillId="0" borderId="0" xfId="1" applyFont="1"/>
    <xf numFmtId="0" fontId="7" fillId="0" borderId="0" xfId="1" applyFont="1" applyAlignment="1"/>
    <xf numFmtId="0" fontId="7" fillId="0" borderId="0" xfId="1" applyFont="1" applyBorder="1" applyAlignment="1">
      <alignment horizontal="right"/>
    </xf>
    <xf numFmtId="2" fontId="7" fillId="0" borderId="0" xfId="1" applyNumberFormat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24" fillId="0" borderId="0" xfId="1" applyFont="1" applyAlignment="1"/>
    <xf numFmtId="0" fontId="25" fillId="0" borderId="0" xfId="1" applyFont="1"/>
    <xf numFmtId="0" fontId="25" fillId="0" borderId="0" xfId="1" applyFont="1" applyAlignment="1">
      <alignment horizontal="center"/>
    </xf>
    <xf numFmtId="0" fontId="25" fillId="0" borderId="0" xfId="1" applyFont="1" applyAlignment="1"/>
    <xf numFmtId="2" fontId="25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right"/>
    </xf>
    <xf numFmtId="0" fontId="25" fillId="0" borderId="0" xfId="1" applyFont="1" applyAlignment="1">
      <alignment horizontal="center" vertical="center"/>
    </xf>
    <xf numFmtId="2" fontId="26" fillId="0" borderId="0" xfId="1" applyNumberFormat="1" applyFont="1" applyAlignment="1">
      <alignment horizontal="center" vertical="center"/>
    </xf>
    <xf numFmtId="0" fontId="26" fillId="0" borderId="0" xfId="1" applyFont="1"/>
    <xf numFmtId="0" fontId="27" fillId="0" borderId="0" xfId="0" applyFont="1"/>
    <xf numFmtId="2" fontId="28" fillId="0" borderId="1" xfId="1" applyNumberFormat="1" applyFont="1" applyBorder="1"/>
    <xf numFmtId="2" fontId="28" fillId="0" borderId="1" xfId="1" applyNumberFormat="1" applyFont="1" applyFill="1" applyBorder="1"/>
    <xf numFmtId="0" fontId="29" fillId="0" borderId="0" xfId="1" applyFont="1" applyFill="1" applyAlignment="1">
      <alignment horizontal="right"/>
    </xf>
    <xf numFmtId="0" fontId="9" fillId="0" borderId="0" xfId="1" applyFont="1" applyAlignment="1"/>
    <xf numFmtId="2" fontId="29" fillId="0" borderId="10" xfId="1" applyNumberFormat="1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0" fontId="9" fillId="0" borderId="10" xfId="1" applyFont="1" applyFill="1" applyBorder="1"/>
    <xf numFmtId="2" fontId="9" fillId="0" borderId="10" xfId="1" applyNumberFormat="1" applyFont="1" applyFill="1" applyBorder="1"/>
    <xf numFmtId="2" fontId="12" fillId="0" borderId="10" xfId="1" applyNumberFormat="1" applyFont="1" applyFill="1" applyBorder="1"/>
    <xf numFmtId="2" fontId="7" fillId="0" borderId="11" xfId="1" applyNumberFormat="1" applyFont="1" applyBorder="1" applyAlignment="1">
      <alignment horizontal="center" vertical="center"/>
    </xf>
    <xf numFmtId="9" fontId="7" fillId="0" borderId="11" xfId="2" applyFont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10" fontId="7" fillId="0" borderId="11" xfId="2" applyNumberFormat="1" applyFont="1" applyBorder="1" applyAlignment="1">
      <alignment horizontal="center" vertical="center"/>
    </xf>
    <xf numFmtId="44" fontId="7" fillId="0" borderId="11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44" fontId="7" fillId="0" borderId="11" xfId="2" applyNumberFormat="1" applyFont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/>
    </xf>
    <xf numFmtId="166" fontId="28" fillId="0" borderId="1" xfId="1" applyNumberFormat="1" applyFont="1" applyBorder="1"/>
    <xf numFmtId="166" fontId="28" fillId="0" borderId="1" xfId="1" applyNumberFormat="1" applyFont="1" applyFill="1" applyBorder="1"/>
    <xf numFmtId="4" fontId="7" fillId="0" borderId="11" xfId="1" applyNumberFormat="1" applyFont="1" applyBorder="1" applyAlignment="1">
      <alignment horizontal="center" vertical="center"/>
    </xf>
    <xf numFmtId="0" fontId="10" fillId="0" borderId="14" xfId="1" applyFont="1" applyFill="1" applyBorder="1"/>
    <xf numFmtId="0" fontId="3" fillId="0" borderId="16" xfId="1" applyFont="1" applyFill="1" applyBorder="1"/>
    <xf numFmtId="0" fontId="3" fillId="0" borderId="16" xfId="1" applyFont="1" applyBorder="1"/>
    <xf numFmtId="0" fontId="10" fillId="0" borderId="14" xfId="1" applyFont="1" applyBorder="1"/>
    <xf numFmtId="0" fontId="9" fillId="0" borderId="0" xfId="1" applyFon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2" fontId="9" fillId="0" borderId="19" xfId="1" applyNumberFormat="1" applyFont="1" applyFill="1" applyBorder="1" applyAlignment="1">
      <alignment horizontal="center" vertical="center"/>
    </xf>
    <xf numFmtId="2" fontId="9" fillId="0" borderId="17" xfId="1" applyNumberFormat="1" applyFont="1" applyFill="1" applyBorder="1" applyAlignment="1">
      <alignment horizontal="center" vertical="center"/>
    </xf>
    <xf numFmtId="2" fontId="9" fillId="0" borderId="20" xfId="1" applyNumberFormat="1" applyFont="1" applyBorder="1" applyAlignment="1">
      <alignment horizontal="center" vertical="center"/>
    </xf>
    <xf numFmtId="2" fontId="9" fillId="0" borderId="17" xfId="1" applyNumberFormat="1" applyFont="1" applyBorder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2" fontId="9" fillId="0" borderId="20" xfId="1" applyNumberFormat="1" applyFont="1" applyFill="1" applyBorder="1" applyAlignment="1">
      <alignment horizontal="center" vertical="center"/>
    </xf>
    <xf numFmtId="2" fontId="9" fillId="0" borderId="21" xfId="1" applyNumberFormat="1" applyFont="1" applyBorder="1" applyAlignment="1">
      <alignment horizontal="center" vertical="center"/>
    </xf>
    <xf numFmtId="2" fontId="9" fillId="0" borderId="19" xfId="1" applyNumberFormat="1" applyFont="1" applyBorder="1" applyAlignment="1">
      <alignment horizontal="center" vertical="center"/>
    </xf>
    <xf numFmtId="2" fontId="9" fillId="0" borderId="0" xfId="1" applyNumberFormat="1" applyFont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2" fontId="9" fillId="0" borderId="15" xfId="1" applyNumberFormat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2" fontId="9" fillId="0" borderId="13" xfId="1" applyNumberFormat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2" fontId="9" fillId="0" borderId="12" xfId="1" applyNumberFormat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37" fillId="0" borderId="10" xfId="1" applyFont="1" applyFill="1" applyBorder="1"/>
    <xf numFmtId="0" fontId="37" fillId="0" borderId="10" xfId="1" applyFont="1" applyBorder="1"/>
    <xf numFmtId="9" fontId="37" fillId="0" borderId="10" xfId="1" applyNumberFormat="1" applyFont="1" applyFill="1" applyBorder="1"/>
    <xf numFmtId="1" fontId="37" fillId="0" borderId="10" xfId="1" applyNumberFormat="1" applyFont="1" applyFill="1" applyBorder="1"/>
    <xf numFmtId="2" fontId="37" fillId="0" borderId="10" xfId="1" applyNumberFormat="1" applyFont="1" applyFill="1" applyBorder="1" applyAlignment="1">
      <alignment horizontal="center" vertical="center"/>
    </xf>
    <xf numFmtId="0" fontId="37" fillId="0" borderId="10" xfId="1" applyFont="1" applyFill="1" applyBorder="1" applyAlignment="1">
      <alignment horizontal="center" vertical="center"/>
    </xf>
    <xf numFmtId="1" fontId="37" fillId="0" borderId="10" xfId="1" applyNumberFormat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7" fillId="0" borderId="1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/>
    </xf>
    <xf numFmtId="0" fontId="38" fillId="0" borderId="11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1" applyFont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3" fillId="0" borderId="9" xfId="1" applyFont="1" applyBorder="1" applyAlignment="1"/>
    <xf numFmtId="0" fontId="33" fillId="0" borderId="0" xfId="1" applyFont="1" applyBorder="1" applyAlignment="1"/>
    <xf numFmtId="2" fontId="32" fillId="0" borderId="9" xfId="1" applyNumberFormat="1" applyFont="1" applyBorder="1" applyAlignment="1"/>
    <xf numFmtId="0" fontId="32" fillId="0" borderId="0" xfId="1" applyFont="1" applyBorder="1" applyAlignment="1"/>
    <xf numFmtId="2" fontId="29" fillId="0" borderId="0" xfId="1" applyNumberFormat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/>
    <xf numFmtId="0" fontId="9" fillId="0" borderId="0" xfId="1" applyFont="1" applyBorder="1" applyAlignment="1"/>
    <xf numFmtId="0" fontId="10" fillId="0" borderId="0" xfId="1" applyFont="1" applyBorder="1"/>
    <xf numFmtId="49" fontId="1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49" fontId="1" fillId="0" borderId="0" xfId="1" applyNumberFormat="1" applyFill="1" applyAlignment="1">
      <alignment horizontal="center" vertical="center"/>
    </xf>
    <xf numFmtId="2" fontId="9" fillId="0" borderId="0" xfId="1" applyNumberFormat="1" applyFont="1" applyFill="1" applyBorder="1"/>
    <xf numFmtId="2" fontId="12" fillId="0" borderId="0" xfId="1" applyNumberFormat="1" applyFont="1" applyFill="1" applyBorder="1"/>
    <xf numFmtId="9" fontId="37" fillId="0" borderId="24" xfId="1" applyNumberFormat="1" applyFont="1" applyFill="1" applyBorder="1"/>
    <xf numFmtId="2" fontId="37" fillId="0" borderId="10" xfId="1" applyNumberFormat="1" applyFont="1" applyBorder="1"/>
    <xf numFmtId="2" fontId="32" fillId="0" borderId="0" xfId="1" applyNumberFormat="1" applyFont="1" applyBorder="1" applyAlignment="1"/>
    <xf numFmtId="0" fontId="39" fillId="0" borderId="0" xfId="3" applyFont="1" applyFill="1" applyBorder="1" applyAlignment="1">
      <alignment horizontal="right" vertical="center" wrapText="1"/>
    </xf>
    <xf numFmtId="0" fontId="40" fillId="0" borderId="1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2" fontId="37" fillId="0" borderId="24" xfId="1" applyNumberFormat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right"/>
    </xf>
    <xf numFmtId="2" fontId="37" fillId="0" borderId="0" xfId="1" applyNumberFormat="1" applyFont="1" applyBorder="1" applyAlignment="1">
      <alignment horizontal="center" vertical="center"/>
    </xf>
    <xf numFmtId="2" fontId="29" fillId="0" borderId="10" xfId="1" applyNumberFormat="1" applyFont="1" applyBorder="1"/>
    <xf numFmtId="1" fontId="37" fillId="0" borderId="0" xfId="1" applyNumberFormat="1" applyFont="1" applyFill="1" applyBorder="1"/>
    <xf numFmtId="49" fontId="20" fillId="0" borderId="0" xfId="1" applyNumberFormat="1" applyFont="1" applyAlignment="1">
      <alignment horizontal="left" vertical="center"/>
    </xf>
    <xf numFmtId="0" fontId="9" fillId="0" borderId="24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10" fontId="29" fillId="0" borderId="10" xfId="1" applyNumberFormat="1" applyFont="1" applyBorder="1" applyAlignment="1">
      <alignment horizontal="center" vertical="center"/>
    </xf>
    <xf numFmtId="10" fontId="3" fillId="0" borderId="4" xfId="1" applyNumberFormat="1" applyFont="1" applyFill="1" applyBorder="1" applyAlignment="1">
      <alignment horizontal="left" vertical="center" wrapText="1"/>
    </xf>
    <xf numFmtId="0" fontId="41" fillId="0" borderId="0" xfId="1" applyFont="1"/>
    <xf numFmtId="0" fontId="9" fillId="0" borderId="0" xfId="1" applyFont="1" applyFill="1" applyBorder="1" applyAlignment="1">
      <alignment horizontal="center" vertical="center"/>
    </xf>
    <xf numFmtId="167" fontId="42" fillId="0" borderId="35" xfId="0" applyNumberFormat="1" applyFont="1" applyFill="1" applyBorder="1"/>
    <xf numFmtId="2" fontId="43" fillId="0" borderId="41" xfId="0" applyNumberFormat="1" applyFont="1" applyFill="1" applyBorder="1"/>
    <xf numFmtId="167" fontId="43" fillId="0" borderId="39" xfId="0" applyNumberFormat="1" applyFont="1" applyFill="1" applyBorder="1"/>
    <xf numFmtId="2" fontId="42" fillId="0" borderId="41" xfId="0" applyNumberFormat="1" applyFont="1" applyFill="1" applyBorder="1"/>
    <xf numFmtId="167" fontId="42" fillId="0" borderId="43" xfId="0" applyNumberFormat="1" applyFont="1" applyFill="1" applyBorder="1"/>
    <xf numFmtId="0" fontId="42" fillId="0" borderId="0" xfId="0" applyFont="1" applyFill="1"/>
    <xf numFmtId="0" fontId="42" fillId="0" borderId="37" xfId="0" applyFont="1" applyFill="1" applyBorder="1"/>
    <xf numFmtId="0" fontId="42" fillId="0" borderId="39" xfId="0" applyFont="1" applyFill="1" applyBorder="1"/>
    <xf numFmtId="2" fontId="43" fillId="0" borderId="45" xfId="0" applyNumberFormat="1" applyFont="1" applyFill="1" applyBorder="1"/>
    <xf numFmtId="2" fontId="44" fillId="0" borderId="0" xfId="0" applyNumberFormat="1" applyFont="1" applyFill="1" applyBorder="1"/>
    <xf numFmtId="2" fontId="43" fillId="0" borderId="0" xfId="0" applyNumberFormat="1" applyFont="1" applyFill="1" applyBorder="1"/>
    <xf numFmtId="167" fontId="42" fillId="0" borderId="39" xfId="0" applyNumberFormat="1" applyFont="1" applyFill="1" applyBorder="1"/>
    <xf numFmtId="0" fontId="45" fillId="0" borderId="0" xfId="0" applyFont="1" applyFill="1"/>
    <xf numFmtId="49" fontId="47" fillId="0" borderId="0" xfId="3" applyNumberFormat="1" applyFont="1" applyAlignment="1">
      <alignment horizontal="center" vertical="center"/>
    </xf>
    <xf numFmtId="0" fontId="47" fillId="0" borderId="0" xfId="3" applyFont="1"/>
    <xf numFmtId="0" fontId="48" fillId="0" borderId="0" xfId="1" applyFont="1" applyAlignment="1">
      <alignment horizontal="left" vertical="center"/>
    </xf>
    <xf numFmtId="0" fontId="48" fillId="0" borderId="0" xfId="1" applyFont="1" applyAlignment="1">
      <alignment horizontal="center" vertical="center"/>
    </xf>
    <xf numFmtId="0" fontId="47" fillId="0" borderId="0" xfId="3" applyFont="1" applyAlignment="1">
      <alignment horizontal="center" vertical="center"/>
    </xf>
    <xf numFmtId="0" fontId="47" fillId="0" borderId="0" xfId="3" applyFont="1" applyAlignment="1">
      <alignment horizontal="left"/>
    </xf>
    <xf numFmtId="49" fontId="47" fillId="0" borderId="1" xfId="3" applyNumberFormat="1" applyFont="1" applyBorder="1" applyAlignment="1">
      <alignment horizontal="center" vertical="center"/>
    </xf>
    <xf numFmtId="0" fontId="47" fillId="0" borderId="1" xfId="3" applyFont="1" applyBorder="1" applyAlignment="1">
      <alignment horizontal="center" vertical="center"/>
    </xf>
    <xf numFmtId="0" fontId="47" fillId="0" borderId="1" xfId="3" applyFont="1" applyBorder="1" applyAlignment="1">
      <alignment horizontal="center" vertical="center" wrapText="1"/>
    </xf>
    <xf numFmtId="0" fontId="51" fillId="0" borderId="1" xfId="3" applyFont="1" applyBorder="1" applyAlignment="1">
      <alignment horizontal="center" vertical="center" wrapText="1"/>
    </xf>
    <xf numFmtId="49" fontId="47" fillId="0" borderId="1" xfId="3" applyNumberFormat="1" applyFont="1" applyBorder="1" applyAlignment="1">
      <alignment horizontal="center" vertical="center" wrapText="1"/>
    </xf>
    <xf numFmtId="0" fontId="52" fillId="0" borderId="1" xfId="3" applyFont="1" applyBorder="1" applyAlignment="1">
      <alignment horizontal="center" vertical="center" wrapText="1"/>
    </xf>
    <xf numFmtId="0" fontId="55" fillId="6" borderId="1" xfId="3" applyFont="1" applyFill="1" applyBorder="1" applyAlignment="1">
      <alignment horizontal="center" vertical="center" wrapText="1"/>
    </xf>
    <xf numFmtId="4" fontId="56" fillId="6" borderId="1" xfId="3" applyNumberFormat="1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4" fontId="43" fillId="6" borderId="1" xfId="3" applyNumberFormat="1" applyFont="1" applyFill="1" applyBorder="1" applyAlignment="1">
      <alignment horizontal="center" vertical="center" wrapText="1"/>
    </xf>
    <xf numFmtId="0" fontId="44" fillId="0" borderId="1" xfId="3" applyFont="1" applyBorder="1" applyAlignment="1">
      <alignment horizontal="center" vertical="center" wrapText="1"/>
    </xf>
    <xf numFmtId="0" fontId="44" fillId="0" borderId="1" xfId="3" applyFont="1" applyBorder="1" applyAlignment="1">
      <alignment horizontal="left" vertical="center" wrapText="1"/>
    </xf>
    <xf numFmtId="4" fontId="47" fillId="0" borderId="1" xfId="3" applyNumberFormat="1" applyFont="1" applyBorder="1" applyAlignment="1">
      <alignment horizontal="center" vertical="center" wrapText="1"/>
    </xf>
    <xf numFmtId="2" fontId="47" fillId="0" borderId="1" xfId="3" applyNumberFormat="1" applyFont="1" applyBorder="1" applyAlignment="1">
      <alignment horizontal="center" vertical="center" wrapText="1"/>
    </xf>
    <xf numFmtId="0" fontId="47" fillId="0" borderId="0" xfId="3" applyFont="1" applyAlignment="1"/>
    <xf numFmtId="0" fontId="42" fillId="6" borderId="7" xfId="0" applyFont="1" applyFill="1" applyBorder="1" applyAlignment="1">
      <alignment horizontal="center" vertical="center" wrapText="1"/>
    </xf>
    <xf numFmtId="0" fontId="44" fillId="0" borderId="7" xfId="3" applyFont="1" applyBorder="1" applyAlignment="1">
      <alignment horizontal="center" vertical="center" wrapText="1"/>
    </xf>
    <xf numFmtId="0" fontId="44" fillId="0" borderId="8" xfId="3" applyFont="1" applyBorder="1" applyAlignment="1">
      <alignment horizontal="center" vertical="center" wrapText="1"/>
    </xf>
    <xf numFmtId="0" fontId="56" fillId="6" borderId="2" xfId="3" applyFont="1" applyFill="1" applyBorder="1" applyAlignment="1">
      <alignment vertical="center" wrapText="1"/>
    </xf>
    <xf numFmtId="0" fontId="43" fillId="6" borderId="1" xfId="3" applyFont="1" applyFill="1" applyBorder="1" applyAlignment="1">
      <alignment horizontal="left" vertical="center" wrapText="1"/>
    </xf>
    <xf numFmtId="2" fontId="57" fillId="3" borderId="1" xfId="3" applyNumberFormat="1" applyFont="1" applyFill="1" applyBorder="1" applyAlignment="1">
      <alignment horizontal="center" vertical="center" wrapText="1"/>
    </xf>
    <xf numFmtId="2" fontId="57" fillId="3" borderId="1" xfId="3" applyNumberFormat="1" applyFont="1" applyFill="1" applyBorder="1" applyAlignment="1">
      <alignment horizontal="center" vertical="center"/>
    </xf>
    <xf numFmtId="2" fontId="58" fillId="0" borderId="0" xfId="3" applyNumberFormat="1" applyFont="1"/>
    <xf numFmtId="4" fontId="59" fillId="0" borderId="1" xfId="0" applyNumberFormat="1" applyFont="1" applyFill="1" applyBorder="1" applyAlignment="1">
      <alignment horizontal="center" vertical="center"/>
    </xf>
    <xf numFmtId="0" fontId="46" fillId="0" borderId="33" xfId="0" applyFont="1" applyBorder="1"/>
    <xf numFmtId="0" fontId="46" fillId="0" borderId="34" xfId="0" applyFont="1" applyBorder="1"/>
    <xf numFmtId="167" fontId="58" fillId="0" borderId="35" xfId="0" applyNumberFormat="1" applyFont="1" applyBorder="1"/>
    <xf numFmtId="0" fontId="47" fillId="0" borderId="33" xfId="0" applyFont="1" applyBorder="1" applyAlignment="1">
      <alignment wrapText="1"/>
    </xf>
    <xf numFmtId="0" fontId="47" fillId="0" borderId="34" xfId="3" applyFont="1" applyBorder="1"/>
    <xf numFmtId="167" fontId="58" fillId="0" borderId="35" xfId="3" applyNumberFormat="1" applyFont="1" applyBorder="1"/>
    <xf numFmtId="0" fontId="47" fillId="0" borderId="36" xfId="3" applyFont="1" applyBorder="1"/>
    <xf numFmtId="0" fontId="47" fillId="0" borderId="37" xfId="3" applyFont="1" applyBorder="1"/>
    <xf numFmtId="0" fontId="46" fillId="0" borderId="33" xfId="0" applyFont="1" applyFill="1" applyBorder="1"/>
    <xf numFmtId="0" fontId="46" fillId="0" borderId="34" xfId="0" applyFont="1" applyFill="1" applyBorder="1"/>
    <xf numFmtId="2" fontId="47" fillId="0" borderId="38" xfId="3" applyNumberFormat="1" applyFont="1" applyBorder="1"/>
    <xf numFmtId="0" fontId="47" fillId="0" borderId="39" xfId="3" applyFont="1" applyBorder="1"/>
    <xf numFmtId="0" fontId="47" fillId="0" borderId="40" xfId="3" applyFont="1" applyBorder="1"/>
    <xf numFmtId="0" fontId="47" fillId="0" borderId="41" xfId="3" applyFont="1" applyBorder="1"/>
    <xf numFmtId="2" fontId="58" fillId="0" borderId="42" xfId="3" applyNumberFormat="1" applyFont="1" applyBorder="1"/>
    <xf numFmtId="2" fontId="47" fillId="0" borderId="40" xfId="3" applyNumberFormat="1" applyFont="1" applyBorder="1"/>
    <xf numFmtId="0" fontId="47" fillId="0" borderId="43" xfId="3" applyFont="1" applyBorder="1"/>
    <xf numFmtId="0" fontId="60" fillId="0" borderId="0" xfId="3" applyFont="1" applyBorder="1"/>
    <xf numFmtId="0" fontId="47" fillId="0" borderId="38" xfId="0" applyFont="1" applyBorder="1" applyAlignment="1">
      <alignment wrapText="1"/>
    </xf>
    <xf numFmtId="0" fontId="47" fillId="0" borderId="0" xfId="3" applyFont="1" applyBorder="1"/>
    <xf numFmtId="2" fontId="47" fillId="0" borderId="0" xfId="3" applyNumberFormat="1" applyFont="1"/>
    <xf numFmtId="0" fontId="47" fillId="0" borderId="40" xfId="0" applyFont="1" applyFill="1" applyBorder="1" applyAlignment="1">
      <alignment wrapText="1"/>
    </xf>
    <xf numFmtId="0" fontId="46" fillId="0" borderId="36" xfId="0" applyFont="1" applyFill="1" applyBorder="1"/>
    <xf numFmtId="0" fontId="46" fillId="0" borderId="45" xfId="0" applyFont="1" applyFill="1" applyBorder="1"/>
    <xf numFmtId="0" fontId="47" fillId="0" borderId="45" xfId="3" applyFont="1" applyBorder="1"/>
    <xf numFmtId="2" fontId="52" fillId="3" borderId="1" xfId="3" applyNumberFormat="1" applyFont="1" applyFill="1" applyBorder="1" applyAlignment="1">
      <alignment horizontal="center" vertical="center"/>
    </xf>
    <xf numFmtId="0" fontId="46" fillId="0" borderId="38" xfId="0" applyFont="1" applyFill="1" applyBorder="1"/>
    <xf numFmtId="0" fontId="46" fillId="0" borderId="0" xfId="0" applyFont="1" applyFill="1" applyBorder="1"/>
    <xf numFmtId="0" fontId="47" fillId="0" borderId="38" xfId="3" applyFont="1" applyBorder="1" applyAlignment="1">
      <alignment wrapText="1"/>
    </xf>
    <xf numFmtId="0" fontId="47" fillId="0" borderId="0" xfId="3" applyFont="1" applyBorder="1" applyAlignment="1">
      <alignment wrapText="1"/>
    </xf>
    <xf numFmtId="0" fontId="61" fillId="0" borderId="1" xfId="3" applyFont="1" applyFill="1" applyBorder="1" applyAlignment="1">
      <alignment horizontal="center" vertical="center" wrapText="1"/>
    </xf>
    <xf numFmtId="0" fontId="46" fillId="0" borderId="1" xfId="0" applyFont="1" applyBorder="1"/>
    <xf numFmtId="2" fontId="62" fillId="0" borderId="1" xfId="0" applyNumberFormat="1" applyFont="1" applyFill="1" applyBorder="1" applyAlignment="1">
      <alignment horizontal="center" vertical="center"/>
    </xf>
    <xf numFmtId="165" fontId="62" fillId="0" borderId="1" xfId="0" applyNumberFormat="1" applyFont="1" applyFill="1" applyBorder="1" applyAlignment="1">
      <alignment horizontal="center" vertical="center"/>
    </xf>
    <xf numFmtId="4" fontId="62" fillId="0" borderId="1" xfId="0" applyNumberFormat="1" applyFont="1" applyFill="1" applyBorder="1" applyAlignment="1">
      <alignment horizontal="center" vertical="center" wrapText="1"/>
    </xf>
    <xf numFmtId="0" fontId="46" fillId="0" borderId="9" xfId="0" applyFont="1" applyBorder="1"/>
    <xf numFmtId="0" fontId="46" fillId="0" borderId="0" xfId="0" applyFont="1" applyFill="1"/>
    <xf numFmtId="165" fontId="46" fillId="0" borderId="0" xfId="0" applyNumberFormat="1" applyFont="1" applyFill="1"/>
    <xf numFmtId="0" fontId="46" fillId="0" borderId="39" xfId="0" applyFont="1" applyFill="1" applyBorder="1"/>
    <xf numFmtId="0" fontId="47" fillId="0" borderId="38" xfId="3" applyFont="1" applyBorder="1"/>
    <xf numFmtId="2" fontId="59" fillId="0" borderId="1" xfId="0" applyNumberFormat="1" applyFont="1" applyFill="1" applyBorder="1" applyAlignment="1">
      <alignment horizontal="center" vertical="center"/>
    </xf>
    <xf numFmtId="4" fontId="59" fillId="0" borderId="1" xfId="0" applyNumberFormat="1" applyFont="1" applyFill="1" applyBorder="1" applyAlignment="1">
      <alignment horizontal="center" vertical="center" wrapText="1"/>
    </xf>
    <xf numFmtId="0" fontId="46" fillId="0" borderId="40" xfId="0" applyFont="1" applyFill="1" applyBorder="1"/>
    <xf numFmtId="0" fontId="46" fillId="0" borderId="41" xfId="0" applyFont="1" applyFill="1" applyBorder="1"/>
    <xf numFmtId="0" fontId="46" fillId="0" borderId="43" xfId="0" applyFont="1" applyFill="1" applyBorder="1"/>
    <xf numFmtId="0" fontId="46" fillId="0" borderId="37" xfId="0" applyFont="1" applyFill="1" applyBorder="1"/>
    <xf numFmtId="2" fontId="47" fillId="0" borderId="36" xfId="3" applyNumberFormat="1" applyFont="1" applyBorder="1"/>
    <xf numFmtId="2" fontId="47" fillId="0" borderId="45" xfId="3" applyNumberFormat="1" applyFont="1" applyBorder="1"/>
    <xf numFmtId="167" fontId="46" fillId="0" borderId="40" xfId="0" applyNumberFormat="1" applyFont="1" applyFill="1" applyBorder="1"/>
    <xf numFmtId="167" fontId="46" fillId="0" borderId="41" xfId="0" applyNumberFormat="1" applyFont="1" applyFill="1" applyBorder="1"/>
    <xf numFmtId="166" fontId="46" fillId="0" borderId="40" xfId="0" applyNumberFormat="1" applyFont="1" applyFill="1" applyBorder="1"/>
    <xf numFmtId="166" fontId="46" fillId="0" borderId="41" xfId="0" applyNumberFormat="1" applyFont="1" applyFill="1" applyBorder="1"/>
    <xf numFmtId="167" fontId="47" fillId="0" borderId="38" xfId="3" applyNumberFormat="1" applyFont="1" applyBorder="1"/>
    <xf numFmtId="167" fontId="47" fillId="0" borderId="0" xfId="3" applyNumberFormat="1" applyFont="1" applyBorder="1"/>
    <xf numFmtId="2" fontId="46" fillId="0" borderId="41" xfId="0" applyNumberFormat="1" applyFont="1" applyFill="1" applyBorder="1"/>
    <xf numFmtId="0" fontId="47" fillId="0" borderId="36" xfId="3" applyFont="1" applyBorder="1" applyAlignment="1">
      <alignment wrapText="1"/>
    </xf>
    <xf numFmtId="0" fontId="47" fillId="0" borderId="45" xfId="3" applyFont="1" applyBorder="1" applyAlignment="1">
      <alignment wrapText="1"/>
    </xf>
    <xf numFmtId="167" fontId="46" fillId="0" borderId="38" xfId="0" applyNumberFormat="1" applyFont="1" applyFill="1" applyBorder="1"/>
    <xf numFmtId="167" fontId="46" fillId="0" borderId="0" xfId="0" applyNumberFormat="1" applyFont="1" applyFill="1" applyBorder="1"/>
    <xf numFmtId="0" fontId="43" fillId="0" borderId="1" xfId="3" applyFont="1" applyFill="1" applyBorder="1" applyAlignment="1">
      <alignment horizontal="center" vertical="center" wrapText="1"/>
    </xf>
    <xf numFmtId="0" fontId="56" fillId="0" borderId="2" xfId="3" applyFont="1" applyFill="1" applyBorder="1" applyAlignment="1">
      <alignment vertical="center" wrapText="1"/>
    </xf>
    <xf numFmtId="4" fontId="43" fillId="0" borderId="1" xfId="3" applyNumberFormat="1" applyFont="1" applyFill="1" applyBorder="1" applyAlignment="1">
      <alignment horizontal="center" vertical="center" wrapText="1"/>
    </xf>
    <xf numFmtId="165" fontId="59" fillId="0" borderId="1" xfId="0" applyNumberFormat="1" applyFont="1" applyFill="1" applyBorder="1" applyAlignment="1">
      <alignment horizontal="center" vertical="center"/>
    </xf>
    <xf numFmtId="0" fontId="56" fillId="4" borderId="2" xfId="3" applyFont="1" applyFill="1" applyBorder="1" applyAlignment="1">
      <alignment horizontal="center" vertical="center" wrapText="1"/>
    </xf>
    <xf numFmtId="0" fontId="56" fillId="4" borderId="2" xfId="3" applyFont="1" applyFill="1" applyBorder="1" applyAlignment="1">
      <alignment vertical="center" wrapText="1"/>
    </xf>
    <xf numFmtId="4" fontId="56" fillId="4" borderId="2" xfId="3" applyNumberFormat="1" applyFont="1" applyFill="1" applyBorder="1" applyAlignment="1">
      <alignment horizontal="center" vertical="center" wrapText="1"/>
    </xf>
    <xf numFmtId="0" fontId="52" fillId="0" borderId="9" xfId="3" applyFont="1" applyFill="1" applyBorder="1"/>
    <xf numFmtId="0" fontId="52" fillId="0" borderId="0" xfId="3" applyFont="1" applyFill="1" applyBorder="1"/>
    <xf numFmtId="2" fontId="63" fillId="0" borderId="0" xfId="3" applyNumberFormat="1" applyFont="1" applyFill="1"/>
    <xf numFmtId="0" fontId="52" fillId="0" borderId="0" xfId="3" applyFont="1" applyFill="1"/>
    <xf numFmtId="0" fontId="56" fillId="6" borderId="2" xfId="3" applyFont="1" applyFill="1" applyBorder="1" applyAlignment="1">
      <alignment horizontal="center" vertical="center" wrapText="1"/>
    </xf>
    <xf numFmtId="4" fontId="56" fillId="6" borderId="2" xfId="3" applyNumberFormat="1" applyFont="1" applyFill="1" applyBorder="1" applyAlignment="1">
      <alignment horizontal="center" vertical="center" wrapText="1"/>
    </xf>
    <xf numFmtId="164" fontId="46" fillId="0" borderId="9" xfId="0" applyNumberFormat="1" applyFont="1" applyFill="1" applyBorder="1"/>
    <xf numFmtId="0" fontId="52" fillId="0" borderId="0" xfId="0" applyFont="1" applyFill="1" applyBorder="1"/>
    <xf numFmtId="0" fontId="52" fillId="0" borderId="0" xfId="0" applyFont="1" applyFill="1"/>
    <xf numFmtId="49" fontId="47" fillId="0" borderId="1" xfId="3" applyNumberFormat="1" applyFont="1" applyFill="1" applyBorder="1" applyAlignment="1">
      <alignment horizontal="center" vertical="center"/>
    </xf>
    <xf numFmtId="164" fontId="46" fillId="0" borderId="9" xfId="0" applyNumberFormat="1" applyFont="1" applyBorder="1"/>
    <xf numFmtId="0" fontId="46" fillId="0" borderId="0" xfId="0" applyFont="1" applyBorder="1"/>
    <xf numFmtId="0" fontId="46" fillId="0" borderId="0" xfId="0" applyFont="1"/>
    <xf numFmtId="49" fontId="52" fillId="6" borderId="1" xfId="3" applyNumberFormat="1" applyFont="1" applyFill="1" applyBorder="1" applyAlignment="1">
      <alignment horizontal="center" vertical="center"/>
    </xf>
    <xf numFmtId="4" fontId="56" fillId="4" borderId="1" xfId="3" applyNumberFormat="1" applyFont="1" applyFill="1" applyBorder="1" applyAlignment="1">
      <alignment horizontal="center" vertical="center" wrapText="1"/>
    </xf>
    <xf numFmtId="2" fontId="65" fillId="0" borderId="0" xfId="3" applyNumberFormat="1" applyFont="1"/>
    <xf numFmtId="4" fontId="66" fillId="7" borderId="2" xfId="3" applyNumberFormat="1" applyFont="1" applyFill="1" applyBorder="1" applyAlignment="1">
      <alignment horizontal="center" vertical="center" wrapText="1"/>
    </xf>
    <xf numFmtId="4" fontId="66" fillId="7" borderId="1" xfId="3" applyNumberFormat="1" applyFont="1" applyFill="1" applyBorder="1" applyAlignment="1">
      <alignment horizontal="center" vertical="center" wrapText="1"/>
    </xf>
    <xf numFmtId="0" fontId="62" fillId="0" borderId="0" xfId="3" applyFont="1" applyFill="1"/>
    <xf numFmtId="0" fontId="67" fillId="0" borderId="0" xfId="3" applyFont="1" applyFill="1"/>
    <xf numFmtId="49" fontId="68" fillId="0" borderId="0" xfId="3" applyNumberFormat="1" applyFont="1" applyAlignment="1">
      <alignment horizontal="center" vertical="center"/>
    </xf>
    <xf numFmtId="0" fontId="69" fillId="0" borderId="0" xfId="1" applyFont="1"/>
    <xf numFmtId="0" fontId="68" fillId="0" borderId="0" xfId="3" applyFont="1"/>
    <xf numFmtId="0" fontId="68" fillId="0" borderId="0" xfId="3" applyFont="1" applyAlignment="1">
      <alignment horizontal="center" vertical="center"/>
    </xf>
    <xf numFmtId="0" fontId="70" fillId="0" borderId="0" xfId="3" applyFont="1" applyAlignment="1">
      <alignment horizontal="center" vertical="center"/>
    </xf>
    <xf numFmtId="0" fontId="70" fillId="0" borderId="0" xfId="3" applyFont="1" applyAlignment="1">
      <alignment horizontal="center"/>
    </xf>
    <xf numFmtId="0" fontId="43" fillId="6" borderId="2" xfId="3" applyFont="1" applyFill="1" applyBorder="1" applyAlignment="1">
      <alignment vertical="center" wrapText="1"/>
    </xf>
    <xf numFmtId="0" fontId="7" fillId="0" borderId="26" xfId="1" applyFont="1" applyBorder="1" applyAlignment="1">
      <alignment horizontal="right" vertical="center"/>
    </xf>
    <xf numFmtId="0" fontId="7" fillId="0" borderId="27" xfId="1" applyFont="1" applyBorder="1" applyAlignment="1">
      <alignment horizontal="right" vertical="center"/>
    </xf>
    <xf numFmtId="0" fontId="7" fillId="0" borderId="26" xfId="1" applyFont="1" applyBorder="1" applyAlignment="1">
      <alignment horizontal="right"/>
    </xf>
    <xf numFmtId="0" fontId="7" fillId="0" borderId="27" xfId="1" applyFont="1" applyBorder="1" applyAlignment="1">
      <alignment horizontal="right"/>
    </xf>
    <xf numFmtId="0" fontId="29" fillId="0" borderId="29" xfId="1" applyFont="1" applyBorder="1" applyAlignment="1">
      <alignment horizontal="center" vertical="center"/>
    </xf>
    <xf numFmtId="0" fontId="29" fillId="0" borderId="30" xfId="1" applyFont="1" applyBorder="1" applyAlignment="1">
      <alignment horizontal="center" vertical="center"/>
    </xf>
    <xf numFmtId="0" fontId="29" fillId="0" borderId="25" xfId="1" applyFont="1" applyBorder="1" applyAlignment="1">
      <alignment horizontal="center" vertical="center"/>
    </xf>
    <xf numFmtId="0" fontId="7" fillId="0" borderId="26" xfId="1" applyFont="1" applyFill="1" applyBorder="1" applyAlignment="1">
      <alignment horizontal="right" vertical="center" wrapText="1"/>
    </xf>
    <xf numFmtId="0" fontId="7" fillId="0" borderId="27" xfId="1" applyFont="1" applyFill="1" applyBorder="1" applyAlignment="1">
      <alignment horizontal="right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center" vertical="center" wrapText="1"/>
    </xf>
    <xf numFmtId="0" fontId="28" fillId="0" borderId="4" xfId="3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right"/>
    </xf>
    <xf numFmtId="0" fontId="28" fillId="0" borderId="2" xfId="1" applyFont="1" applyFill="1" applyBorder="1" applyAlignment="1">
      <alignment horizontal="center" vertical="center"/>
    </xf>
    <xf numFmtId="0" fontId="28" fillId="0" borderId="3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30" fillId="0" borderId="29" xfId="1" applyFont="1" applyBorder="1" applyAlignment="1">
      <alignment horizontal="center"/>
    </xf>
    <xf numFmtId="0" fontId="30" fillId="0" borderId="25" xfId="1" applyFont="1" applyBorder="1" applyAlignment="1">
      <alignment horizontal="center"/>
    </xf>
    <xf numFmtId="0" fontId="34" fillId="0" borderId="0" xfId="1" applyFont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31" fillId="0" borderId="0" xfId="1" applyFont="1" applyFill="1" applyAlignment="1">
      <alignment horizontal="center"/>
    </xf>
    <xf numFmtId="0" fontId="33" fillId="0" borderId="2" xfId="1" applyFont="1" applyBorder="1" applyAlignment="1">
      <alignment horizontal="center"/>
    </xf>
    <xf numFmtId="0" fontId="33" fillId="0" borderId="4" xfId="1" applyFont="1" applyBorder="1" applyAlignment="1">
      <alignment horizontal="center"/>
    </xf>
    <xf numFmtId="2" fontId="32" fillId="0" borderId="2" xfId="1" applyNumberFormat="1" applyFont="1" applyBorder="1" applyAlignment="1">
      <alignment horizontal="center"/>
    </xf>
    <xf numFmtId="2" fontId="32" fillId="0" borderId="4" xfId="1" applyNumberFormat="1" applyFont="1" applyBorder="1" applyAlignment="1">
      <alignment horizontal="center"/>
    </xf>
    <xf numFmtId="0" fontId="28" fillId="0" borderId="1" xfId="1" applyFont="1" applyBorder="1" applyAlignment="1">
      <alignment horizontal="center" vertical="center" textRotation="90"/>
    </xf>
    <xf numFmtId="0" fontId="31" fillId="0" borderId="22" xfId="1" applyFont="1" applyFill="1" applyBorder="1" applyAlignment="1">
      <alignment horizontal="center"/>
    </xf>
    <xf numFmtId="0" fontId="66" fillId="7" borderId="2" xfId="3" applyFont="1" applyFill="1" applyBorder="1" applyAlignment="1">
      <alignment horizontal="right" vertical="center" wrapText="1"/>
    </xf>
    <xf numFmtId="0" fontId="66" fillId="7" borderId="3" xfId="3" applyFont="1" applyFill="1" applyBorder="1" applyAlignment="1">
      <alignment horizontal="right" vertical="center" wrapText="1"/>
    </xf>
    <xf numFmtId="0" fontId="66" fillId="7" borderId="4" xfId="3" applyFont="1" applyFill="1" applyBorder="1" applyAlignment="1">
      <alignment horizontal="right" vertical="center" wrapText="1"/>
    </xf>
    <xf numFmtId="2" fontId="47" fillId="0" borderId="44" xfId="3" applyNumberFormat="1" applyFont="1" applyBorder="1" applyAlignment="1">
      <alignment horizontal="center"/>
    </xf>
    <xf numFmtId="2" fontId="47" fillId="0" borderId="46" xfId="3" applyNumberFormat="1" applyFont="1" applyBorder="1" applyAlignment="1">
      <alignment horizontal="center"/>
    </xf>
    <xf numFmtId="2" fontId="47" fillId="0" borderId="42" xfId="3" applyNumberFormat="1" applyFont="1" applyBorder="1" applyAlignment="1">
      <alignment horizontal="center"/>
    </xf>
    <xf numFmtId="165" fontId="46" fillId="0" borderId="44" xfId="0" applyNumberFormat="1" applyFont="1" applyFill="1" applyBorder="1" applyAlignment="1">
      <alignment horizontal="center"/>
    </xf>
    <xf numFmtId="165" fontId="46" fillId="0" borderId="42" xfId="0" applyNumberFormat="1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4" fillId="0" borderId="2" xfId="3" applyFont="1" applyBorder="1" applyAlignment="1">
      <alignment horizontal="left" vertical="center" wrapText="1"/>
    </xf>
    <xf numFmtId="0" fontId="44" fillId="0" borderId="3" xfId="3" applyFont="1" applyBorder="1" applyAlignment="1">
      <alignment horizontal="left" vertical="center" wrapText="1"/>
    </xf>
    <xf numFmtId="0" fontId="44" fillId="0" borderId="4" xfId="3" applyFont="1" applyBorder="1" applyAlignment="1">
      <alignment horizontal="left" vertical="center" wrapText="1"/>
    </xf>
    <xf numFmtId="0" fontId="64" fillId="4" borderId="2" xfId="3" applyFont="1" applyFill="1" applyBorder="1" applyAlignment="1">
      <alignment horizontal="center" vertical="center" wrapText="1"/>
    </xf>
    <xf numFmtId="0" fontId="64" fillId="4" borderId="3" xfId="3" applyFont="1" applyFill="1" applyBorder="1" applyAlignment="1">
      <alignment horizontal="center" vertical="center" wrapText="1"/>
    </xf>
    <xf numFmtId="0" fontId="64" fillId="4" borderId="4" xfId="3" applyFont="1" applyFill="1" applyBorder="1" applyAlignment="1">
      <alignment horizontal="center" vertical="center" wrapText="1"/>
    </xf>
    <xf numFmtId="0" fontId="56" fillId="6" borderId="2" xfId="3" applyFont="1" applyFill="1" applyBorder="1" applyAlignment="1">
      <alignment horizontal="left" vertical="center" wrapText="1"/>
    </xf>
    <xf numFmtId="0" fontId="56" fillId="6" borderId="4" xfId="3" applyFont="1" applyFill="1" applyBorder="1" applyAlignment="1">
      <alignment horizontal="left" vertical="center" wrapText="1"/>
    </xf>
    <xf numFmtId="0" fontId="47" fillId="0" borderId="0" xfId="3" applyFont="1" applyAlignment="1">
      <alignment horizontal="center"/>
    </xf>
    <xf numFmtId="0" fontId="43" fillId="6" borderId="31" xfId="3" applyFont="1" applyFill="1" applyBorder="1" applyAlignment="1">
      <alignment horizontal="left" vertical="center" wrapText="1"/>
    </xf>
    <xf numFmtId="0" fontId="43" fillId="6" borderId="32" xfId="3" applyFont="1" applyFill="1" applyBorder="1" applyAlignment="1">
      <alignment horizontal="left" vertical="center" wrapText="1"/>
    </xf>
    <xf numFmtId="4" fontId="47" fillId="0" borderId="7" xfId="3" applyNumberFormat="1" applyFont="1" applyBorder="1" applyAlignment="1">
      <alignment horizontal="center" vertical="center" wrapText="1"/>
    </xf>
    <xf numFmtId="4" fontId="47" fillId="0" borderId="5" xfId="3" applyNumberFormat="1" applyFont="1" applyBorder="1" applyAlignment="1">
      <alignment horizontal="center" vertical="center" wrapText="1"/>
    </xf>
    <xf numFmtId="2" fontId="47" fillId="0" borderId="7" xfId="3" applyNumberFormat="1" applyFont="1" applyBorder="1" applyAlignment="1">
      <alignment horizontal="center" vertical="center" wrapText="1"/>
    </xf>
    <xf numFmtId="2" fontId="47" fillId="0" borderId="5" xfId="3" applyNumberFormat="1" applyFont="1" applyBorder="1" applyAlignment="1">
      <alignment horizontal="center" vertical="center" wrapText="1"/>
    </xf>
    <xf numFmtId="0" fontId="70" fillId="0" borderId="0" xfId="3" applyFont="1" applyAlignment="1">
      <alignment horizontal="center"/>
    </xf>
    <xf numFmtId="0" fontId="69" fillId="0" borderId="0" xfId="3" applyFont="1" applyAlignment="1">
      <alignment horizontal="center" vertical="center"/>
    </xf>
    <xf numFmtId="0" fontId="68" fillId="0" borderId="0" xfId="3" applyFont="1" applyAlignment="1">
      <alignment horizontal="center" vertical="center"/>
    </xf>
    <xf numFmtId="0" fontId="50" fillId="0" borderId="6" xfId="3" applyFont="1" applyBorder="1" applyAlignment="1">
      <alignment horizontal="center" vertical="center" wrapText="1"/>
    </xf>
    <xf numFmtId="0" fontId="43" fillId="3" borderId="2" xfId="3" applyFont="1" applyFill="1" applyBorder="1" applyAlignment="1">
      <alignment horizontal="center" vertical="center" wrapText="1"/>
    </xf>
    <xf numFmtId="0" fontId="47" fillId="3" borderId="3" xfId="3" applyFont="1" applyFill="1" applyBorder="1" applyAlignment="1">
      <alignment horizontal="center" vertical="center"/>
    </xf>
    <xf numFmtId="0" fontId="47" fillId="3" borderId="4" xfId="3" applyFont="1" applyFill="1" applyBorder="1" applyAlignment="1">
      <alignment horizontal="center" vertical="center"/>
    </xf>
    <xf numFmtId="0" fontId="47" fillId="0" borderId="2" xfId="3" applyFont="1" applyFill="1" applyBorder="1" applyAlignment="1">
      <alignment horizontal="center" vertical="center" wrapText="1"/>
    </xf>
    <xf numFmtId="0" fontId="47" fillId="0" borderId="3" xfId="3" applyFont="1" applyBorder="1" applyAlignment="1">
      <alignment horizontal="center" vertical="center"/>
    </xf>
    <xf numFmtId="0" fontId="47" fillId="0" borderId="4" xfId="3" applyFont="1" applyBorder="1" applyAlignment="1">
      <alignment horizontal="center" vertical="center"/>
    </xf>
    <xf numFmtId="1" fontId="47" fillId="0" borderId="2" xfId="3" applyNumberFormat="1" applyFont="1" applyFill="1" applyBorder="1" applyAlignment="1">
      <alignment horizontal="center" vertical="center" wrapText="1"/>
    </xf>
    <xf numFmtId="0" fontId="43" fillId="6" borderId="2" xfId="3" applyFont="1" applyFill="1" applyBorder="1" applyAlignment="1">
      <alignment horizontal="left" vertical="center" wrapText="1"/>
    </xf>
    <xf numFmtId="0" fontId="43" fillId="6" borderId="4" xfId="3" applyFont="1" applyFill="1" applyBorder="1" applyAlignment="1">
      <alignment horizontal="left" vertical="center" wrapText="1"/>
    </xf>
    <xf numFmtId="0" fontId="47" fillId="0" borderId="7" xfId="3" applyFont="1" applyBorder="1" applyAlignment="1">
      <alignment horizontal="center" vertical="center" wrapText="1"/>
    </xf>
    <xf numFmtId="0" fontId="47" fillId="0" borderId="8" xfId="3" applyFont="1" applyBorder="1" applyAlignment="1">
      <alignment horizontal="center" vertical="center" wrapText="1"/>
    </xf>
    <xf numFmtId="0" fontId="47" fillId="0" borderId="5" xfId="3" applyFont="1" applyBorder="1" applyAlignment="1">
      <alignment horizontal="center" vertical="center" wrapText="1"/>
    </xf>
    <xf numFmtId="2" fontId="47" fillId="0" borderId="2" xfId="3" applyNumberFormat="1" applyFont="1" applyFill="1" applyBorder="1" applyAlignment="1">
      <alignment horizontal="center" vertical="center" wrapText="1"/>
    </xf>
    <xf numFmtId="2" fontId="47" fillId="0" borderId="3" xfId="3" applyNumberFormat="1" applyFont="1" applyFill="1" applyBorder="1" applyAlignment="1">
      <alignment horizontal="center" vertical="center" wrapText="1"/>
    </xf>
    <xf numFmtId="2" fontId="47" fillId="0" borderId="4" xfId="3" applyNumberFormat="1" applyFont="1" applyFill="1" applyBorder="1" applyAlignment="1">
      <alignment horizontal="center" vertical="center"/>
    </xf>
    <xf numFmtId="2" fontId="51" fillId="0" borderId="2" xfId="3" applyNumberFormat="1" applyFont="1" applyFill="1" applyBorder="1" applyAlignment="1">
      <alignment horizontal="center" vertical="center" wrapText="1"/>
    </xf>
    <xf numFmtId="2" fontId="51" fillId="0" borderId="3" xfId="3" applyNumberFormat="1" applyFont="1" applyFill="1" applyBorder="1" applyAlignment="1">
      <alignment horizontal="center" vertical="center" wrapText="1"/>
    </xf>
    <xf numFmtId="2" fontId="51" fillId="0" borderId="4" xfId="3" applyNumberFormat="1" applyFont="1" applyFill="1" applyBorder="1" applyAlignment="1">
      <alignment horizontal="center" vertical="center"/>
    </xf>
    <xf numFmtId="0" fontId="25" fillId="0" borderId="0" xfId="1" applyFont="1" applyAlignment="1">
      <alignment horizontal="right"/>
    </xf>
    <xf numFmtId="0" fontId="24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right"/>
    </xf>
  </cellXfs>
  <cellStyles count="4">
    <cellStyle name="Обычный" xfId="0" builtinId="0"/>
    <cellStyle name="Обычный 2" xfId="1"/>
    <cellStyle name="Обычный 2 2" xfId="3"/>
    <cellStyle name="Процентный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T237"/>
  <sheetViews>
    <sheetView view="pageBreakPreview" zoomScale="60" zoomScaleNormal="50" workbookViewId="0">
      <pane xSplit="1" ySplit="8" topLeftCell="B51" activePane="bottomRight" state="frozen"/>
      <selection activeCell="G13" sqref="G13"/>
      <selection pane="topRight" activeCell="G13" sqref="G13"/>
      <selection pane="bottomLeft" activeCell="G13" sqref="G13"/>
      <selection pane="bottomRight" activeCell="G60" sqref="G60"/>
    </sheetView>
  </sheetViews>
  <sheetFormatPr defaultRowHeight="23.25" x14ac:dyDescent="0.35"/>
  <cols>
    <col min="1" max="1" width="10.85546875" style="138" bestFit="1" customWidth="1"/>
    <col min="2" max="2" width="71.5703125" style="1" customWidth="1"/>
    <col min="3" max="3" width="37.28515625" style="1" customWidth="1"/>
    <col min="4" max="4" width="21.5703125" style="1" customWidth="1"/>
    <col min="5" max="5" width="21" style="1" customWidth="1"/>
    <col min="6" max="6" width="21.5703125" style="1" customWidth="1"/>
    <col min="7" max="7" width="15.5703125" style="1" bestFit="1" customWidth="1"/>
    <col min="8" max="8" width="11.7109375" style="3" customWidth="1"/>
    <col min="9" max="9" width="17.42578125" style="1" customWidth="1"/>
    <col min="10" max="10" width="9.140625" style="3"/>
    <col min="11" max="11" width="21.140625" style="92" customWidth="1"/>
    <col min="12" max="12" width="13.85546875" style="18" bestFit="1" customWidth="1"/>
    <col min="13" max="13" width="36.28515625" style="18" customWidth="1"/>
    <col min="14" max="14" width="18.7109375" style="18" customWidth="1"/>
    <col min="15" max="15" width="19.85546875" style="3" customWidth="1"/>
    <col min="16" max="16" width="19.7109375" style="3" customWidth="1"/>
    <col min="17" max="17" width="19.7109375" style="1" customWidth="1"/>
    <col min="18" max="18" width="17.7109375" style="1" customWidth="1"/>
    <col min="19" max="19" width="10.7109375" style="1" customWidth="1"/>
    <col min="20" max="20" width="10.42578125" style="1" bestFit="1" customWidth="1"/>
    <col min="21" max="258" width="9.140625" style="1"/>
    <col min="259" max="259" width="106.140625" style="1" customWidth="1"/>
    <col min="260" max="260" width="21.5703125" style="1" customWidth="1"/>
    <col min="261" max="261" width="21" style="1" customWidth="1"/>
    <col min="262" max="262" width="21.5703125" style="1" customWidth="1"/>
    <col min="263" max="263" width="15.28515625" style="1" bestFit="1" customWidth="1"/>
    <col min="264" max="266" width="9.140625" style="1"/>
    <col min="267" max="267" width="21.140625" style="1" customWidth="1"/>
    <col min="268" max="268" width="9.140625" style="1"/>
    <col min="269" max="269" width="36.28515625" style="1" customWidth="1"/>
    <col min="270" max="270" width="16.85546875" style="1" customWidth="1"/>
    <col min="271" max="514" width="9.140625" style="1"/>
    <col min="515" max="515" width="106.140625" style="1" customWidth="1"/>
    <col min="516" max="516" width="21.5703125" style="1" customWidth="1"/>
    <col min="517" max="517" width="21" style="1" customWidth="1"/>
    <col min="518" max="518" width="21.5703125" style="1" customWidth="1"/>
    <col min="519" max="519" width="15.28515625" style="1" bestFit="1" customWidth="1"/>
    <col min="520" max="522" width="9.140625" style="1"/>
    <col min="523" max="523" width="21.140625" style="1" customWidth="1"/>
    <col min="524" max="524" width="9.140625" style="1"/>
    <col min="525" max="525" width="36.28515625" style="1" customWidth="1"/>
    <col min="526" max="526" width="16.85546875" style="1" customWidth="1"/>
    <col min="527" max="770" width="9.140625" style="1"/>
    <col min="771" max="771" width="106.140625" style="1" customWidth="1"/>
    <col min="772" max="772" width="21.5703125" style="1" customWidth="1"/>
    <col min="773" max="773" width="21" style="1" customWidth="1"/>
    <col min="774" max="774" width="21.5703125" style="1" customWidth="1"/>
    <col min="775" max="775" width="15.28515625" style="1" bestFit="1" customWidth="1"/>
    <col min="776" max="778" width="9.140625" style="1"/>
    <col min="779" max="779" width="21.140625" style="1" customWidth="1"/>
    <col min="780" max="780" width="9.140625" style="1"/>
    <col min="781" max="781" width="36.28515625" style="1" customWidth="1"/>
    <col min="782" max="782" width="16.85546875" style="1" customWidth="1"/>
    <col min="783" max="1026" width="9.140625" style="1"/>
    <col min="1027" max="1027" width="106.140625" style="1" customWidth="1"/>
    <col min="1028" max="1028" width="21.5703125" style="1" customWidth="1"/>
    <col min="1029" max="1029" width="21" style="1" customWidth="1"/>
    <col min="1030" max="1030" width="21.5703125" style="1" customWidth="1"/>
    <col min="1031" max="1031" width="15.28515625" style="1" bestFit="1" customWidth="1"/>
    <col min="1032" max="1034" width="9.140625" style="1"/>
    <col min="1035" max="1035" width="21.140625" style="1" customWidth="1"/>
    <col min="1036" max="1036" width="9.140625" style="1"/>
    <col min="1037" max="1037" width="36.28515625" style="1" customWidth="1"/>
    <col min="1038" max="1038" width="16.85546875" style="1" customWidth="1"/>
    <col min="1039" max="1282" width="9.140625" style="1"/>
    <col min="1283" max="1283" width="106.140625" style="1" customWidth="1"/>
    <col min="1284" max="1284" width="21.5703125" style="1" customWidth="1"/>
    <col min="1285" max="1285" width="21" style="1" customWidth="1"/>
    <col min="1286" max="1286" width="21.5703125" style="1" customWidth="1"/>
    <col min="1287" max="1287" width="15.28515625" style="1" bestFit="1" customWidth="1"/>
    <col min="1288" max="1290" width="9.140625" style="1"/>
    <col min="1291" max="1291" width="21.140625" style="1" customWidth="1"/>
    <col min="1292" max="1292" width="9.140625" style="1"/>
    <col min="1293" max="1293" width="36.28515625" style="1" customWidth="1"/>
    <col min="1294" max="1294" width="16.85546875" style="1" customWidth="1"/>
    <col min="1295" max="1538" width="9.140625" style="1"/>
    <col min="1539" max="1539" width="106.140625" style="1" customWidth="1"/>
    <col min="1540" max="1540" width="21.5703125" style="1" customWidth="1"/>
    <col min="1541" max="1541" width="21" style="1" customWidth="1"/>
    <col min="1542" max="1542" width="21.5703125" style="1" customWidth="1"/>
    <col min="1543" max="1543" width="15.28515625" style="1" bestFit="1" customWidth="1"/>
    <col min="1544" max="1546" width="9.140625" style="1"/>
    <col min="1547" max="1547" width="21.140625" style="1" customWidth="1"/>
    <col min="1548" max="1548" width="9.140625" style="1"/>
    <col min="1549" max="1549" width="36.28515625" style="1" customWidth="1"/>
    <col min="1550" max="1550" width="16.85546875" style="1" customWidth="1"/>
    <col min="1551" max="1794" width="9.140625" style="1"/>
    <col min="1795" max="1795" width="106.140625" style="1" customWidth="1"/>
    <col min="1796" max="1796" width="21.5703125" style="1" customWidth="1"/>
    <col min="1797" max="1797" width="21" style="1" customWidth="1"/>
    <col min="1798" max="1798" width="21.5703125" style="1" customWidth="1"/>
    <col min="1799" max="1799" width="15.28515625" style="1" bestFit="1" customWidth="1"/>
    <col min="1800" max="1802" width="9.140625" style="1"/>
    <col min="1803" max="1803" width="21.140625" style="1" customWidth="1"/>
    <col min="1804" max="1804" width="9.140625" style="1"/>
    <col min="1805" max="1805" width="36.28515625" style="1" customWidth="1"/>
    <col min="1806" max="1806" width="16.85546875" style="1" customWidth="1"/>
    <col min="1807" max="2050" width="9.140625" style="1"/>
    <col min="2051" max="2051" width="106.140625" style="1" customWidth="1"/>
    <col min="2052" max="2052" width="21.5703125" style="1" customWidth="1"/>
    <col min="2053" max="2053" width="21" style="1" customWidth="1"/>
    <col min="2054" max="2054" width="21.5703125" style="1" customWidth="1"/>
    <col min="2055" max="2055" width="15.28515625" style="1" bestFit="1" customWidth="1"/>
    <col min="2056" max="2058" width="9.140625" style="1"/>
    <col min="2059" max="2059" width="21.140625" style="1" customWidth="1"/>
    <col min="2060" max="2060" width="9.140625" style="1"/>
    <col min="2061" max="2061" width="36.28515625" style="1" customWidth="1"/>
    <col min="2062" max="2062" width="16.85546875" style="1" customWidth="1"/>
    <col min="2063" max="2306" width="9.140625" style="1"/>
    <col min="2307" max="2307" width="106.140625" style="1" customWidth="1"/>
    <col min="2308" max="2308" width="21.5703125" style="1" customWidth="1"/>
    <col min="2309" max="2309" width="21" style="1" customWidth="1"/>
    <col min="2310" max="2310" width="21.5703125" style="1" customWidth="1"/>
    <col min="2311" max="2311" width="15.28515625" style="1" bestFit="1" customWidth="1"/>
    <col min="2312" max="2314" width="9.140625" style="1"/>
    <col min="2315" max="2315" width="21.140625" style="1" customWidth="1"/>
    <col min="2316" max="2316" width="9.140625" style="1"/>
    <col min="2317" max="2317" width="36.28515625" style="1" customWidth="1"/>
    <col min="2318" max="2318" width="16.85546875" style="1" customWidth="1"/>
    <col min="2319" max="2562" width="9.140625" style="1"/>
    <col min="2563" max="2563" width="106.140625" style="1" customWidth="1"/>
    <col min="2564" max="2564" width="21.5703125" style="1" customWidth="1"/>
    <col min="2565" max="2565" width="21" style="1" customWidth="1"/>
    <col min="2566" max="2566" width="21.5703125" style="1" customWidth="1"/>
    <col min="2567" max="2567" width="15.28515625" style="1" bestFit="1" customWidth="1"/>
    <col min="2568" max="2570" width="9.140625" style="1"/>
    <col min="2571" max="2571" width="21.140625" style="1" customWidth="1"/>
    <col min="2572" max="2572" width="9.140625" style="1"/>
    <col min="2573" max="2573" width="36.28515625" style="1" customWidth="1"/>
    <col min="2574" max="2574" width="16.85546875" style="1" customWidth="1"/>
    <col min="2575" max="2818" width="9.140625" style="1"/>
    <col min="2819" max="2819" width="106.140625" style="1" customWidth="1"/>
    <col min="2820" max="2820" width="21.5703125" style="1" customWidth="1"/>
    <col min="2821" max="2821" width="21" style="1" customWidth="1"/>
    <col min="2822" max="2822" width="21.5703125" style="1" customWidth="1"/>
    <col min="2823" max="2823" width="15.28515625" style="1" bestFit="1" customWidth="1"/>
    <col min="2824" max="2826" width="9.140625" style="1"/>
    <col min="2827" max="2827" width="21.140625" style="1" customWidth="1"/>
    <col min="2828" max="2828" width="9.140625" style="1"/>
    <col min="2829" max="2829" width="36.28515625" style="1" customWidth="1"/>
    <col min="2830" max="2830" width="16.85546875" style="1" customWidth="1"/>
    <col min="2831" max="3074" width="9.140625" style="1"/>
    <col min="3075" max="3075" width="106.140625" style="1" customWidth="1"/>
    <col min="3076" max="3076" width="21.5703125" style="1" customWidth="1"/>
    <col min="3077" max="3077" width="21" style="1" customWidth="1"/>
    <col min="3078" max="3078" width="21.5703125" style="1" customWidth="1"/>
    <col min="3079" max="3079" width="15.28515625" style="1" bestFit="1" customWidth="1"/>
    <col min="3080" max="3082" width="9.140625" style="1"/>
    <col min="3083" max="3083" width="21.140625" style="1" customWidth="1"/>
    <col min="3084" max="3084" width="9.140625" style="1"/>
    <col min="3085" max="3085" width="36.28515625" style="1" customWidth="1"/>
    <col min="3086" max="3086" width="16.85546875" style="1" customWidth="1"/>
    <col min="3087" max="3330" width="9.140625" style="1"/>
    <col min="3331" max="3331" width="106.140625" style="1" customWidth="1"/>
    <col min="3332" max="3332" width="21.5703125" style="1" customWidth="1"/>
    <col min="3333" max="3333" width="21" style="1" customWidth="1"/>
    <col min="3334" max="3334" width="21.5703125" style="1" customWidth="1"/>
    <col min="3335" max="3335" width="15.28515625" style="1" bestFit="1" customWidth="1"/>
    <col min="3336" max="3338" width="9.140625" style="1"/>
    <col min="3339" max="3339" width="21.140625" style="1" customWidth="1"/>
    <col min="3340" max="3340" width="9.140625" style="1"/>
    <col min="3341" max="3341" width="36.28515625" style="1" customWidth="1"/>
    <col min="3342" max="3342" width="16.85546875" style="1" customWidth="1"/>
    <col min="3343" max="3586" width="9.140625" style="1"/>
    <col min="3587" max="3587" width="106.140625" style="1" customWidth="1"/>
    <col min="3588" max="3588" width="21.5703125" style="1" customWidth="1"/>
    <col min="3589" max="3589" width="21" style="1" customWidth="1"/>
    <col min="3590" max="3590" width="21.5703125" style="1" customWidth="1"/>
    <col min="3591" max="3591" width="15.28515625" style="1" bestFit="1" customWidth="1"/>
    <col min="3592" max="3594" width="9.140625" style="1"/>
    <col min="3595" max="3595" width="21.140625" style="1" customWidth="1"/>
    <col min="3596" max="3596" width="9.140625" style="1"/>
    <col min="3597" max="3597" width="36.28515625" style="1" customWidth="1"/>
    <col min="3598" max="3598" width="16.85546875" style="1" customWidth="1"/>
    <col min="3599" max="3842" width="9.140625" style="1"/>
    <col min="3843" max="3843" width="106.140625" style="1" customWidth="1"/>
    <col min="3844" max="3844" width="21.5703125" style="1" customWidth="1"/>
    <col min="3845" max="3845" width="21" style="1" customWidth="1"/>
    <col min="3846" max="3846" width="21.5703125" style="1" customWidth="1"/>
    <col min="3847" max="3847" width="15.28515625" style="1" bestFit="1" customWidth="1"/>
    <col min="3848" max="3850" width="9.140625" style="1"/>
    <col min="3851" max="3851" width="21.140625" style="1" customWidth="1"/>
    <col min="3852" max="3852" width="9.140625" style="1"/>
    <col min="3853" max="3853" width="36.28515625" style="1" customWidth="1"/>
    <col min="3854" max="3854" width="16.85546875" style="1" customWidth="1"/>
    <col min="3855" max="4098" width="9.140625" style="1"/>
    <col min="4099" max="4099" width="106.140625" style="1" customWidth="1"/>
    <col min="4100" max="4100" width="21.5703125" style="1" customWidth="1"/>
    <col min="4101" max="4101" width="21" style="1" customWidth="1"/>
    <col min="4102" max="4102" width="21.5703125" style="1" customWidth="1"/>
    <col min="4103" max="4103" width="15.28515625" style="1" bestFit="1" customWidth="1"/>
    <col min="4104" max="4106" width="9.140625" style="1"/>
    <col min="4107" max="4107" width="21.140625" style="1" customWidth="1"/>
    <col min="4108" max="4108" width="9.140625" style="1"/>
    <col min="4109" max="4109" width="36.28515625" style="1" customWidth="1"/>
    <col min="4110" max="4110" width="16.85546875" style="1" customWidth="1"/>
    <col min="4111" max="4354" width="9.140625" style="1"/>
    <col min="4355" max="4355" width="106.140625" style="1" customWidth="1"/>
    <col min="4356" max="4356" width="21.5703125" style="1" customWidth="1"/>
    <col min="4357" max="4357" width="21" style="1" customWidth="1"/>
    <col min="4358" max="4358" width="21.5703125" style="1" customWidth="1"/>
    <col min="4359" max="4359" width="15.28515625" style="1" bestFit="1" customWidth="1"/>
    <col min="4360" max="4362" width="9.140625" style="1"/>
    <col min="4363" max="4363" width="21.140625" style="1" customWidth="1"/>
    <col min="4364" max="4364" width="9.140625" style="1"/>
    <col min="4365" max="4365" width="36.28515625" style="1" customWidth="1"/>
    <col min="4366" max="4366" width="16.85546875" style="1" customWidth="1"/>
    <col min="4367" max="4610" width="9.140625" style="1"/>
    <col min="4611" max="4611" width="106.140625" style="1" customWidth="1"/>
    <col min="4612" max="4612" width="21.5703125" style="1" customWidth="1"/>
    <col min="4613" max="4613" width="21" style="1" customWidth="1"/>
    <col min="4614" max="4614" width="21.5703125" style="1" customWidth="1"/>
    <col min="4615" max="4615" width="15.28515625" style="1" bestFit="1" customWidth="1"/>
    <col min="4616" max="4618" width="9.140625" style="1"/>
    <col min="4619" max="4619" width="21.140625" style="1" customWidth="1"/>
    <col min="4620" max="4620" width="9.140625" style="1"/>
    <col min="4621" max="4621" width="36.28515625" style="1" customWidth="1"/>
    <col min="4622" max="4622" width="16.85546875" style="1" customWidth="1"/>
    <col min="4623" max="4866" width="9.140625" style="1"/>
    <col min="4867" max="4867" width="106.140625" style="1" customWidth="1"/>
    <col min="4868" max="4868" width="21.5703125" style="1" customWidth="1"/>
    <col min="4869" max="4869" width="21" style="1" customWidth="1"/>
    <col min="4870" max="4870" width="21.5703125" style="1" customWidth="1"/>
    <col min="4871" max="4871" width="15.28515625" style="1" bestFit="1" customWidth="1"/>
    <col min="4872" max="4874" width="9.140625" style="1"/>
    <col min="4875" max="4875" width="21.140625" style="1" customWidth="1"/>
    <col min="4876" max="4876" width="9.140625" style="1"/>
    <col min="4877" max="4877" width="36.28515625" style="1" customWidth="1"/>
    <col min="4878" max="4878" width="16.85546875" style="1" customWidth="1"/>
    <col min="4879" max="5122" width="9.140625" style="1"/>
    <col min="5123" max="5123" width="106.140625" style="1" customWidth="1"/>
    <col min="5124" max="5124" width="21.5703125" style="1" customWidth="1"/>
    <col min="5125" max="5125" width="21" style="1" customWidth="1"/>
    <col min="5126" max="5126" width="21.5703125" style="1" customWidth="1"/>
    <col min="5127" max="5127" width="15.28515625" style="1" bestFit="1" customWidth="1"/>
    <col min="5128" max="5130" width="9.140625" style="1"/>
    <col min="5131" max="5131" width="21.140625" style="1" customWidth="1"/>
    <col min="5132" max="5132" width="9.140625" style="1"/>
    <col min="5133" max="5133" width="36.28515625" style="1" customWidth="1"/>
    <col min="5134" max="5134" width="16.85546875" style="1" customWidth="1"/>
    <col min="5135" max="5378" width="9.140625" style="1"/>
    <col min="5379" max="5379" width="106.140625" style="1" customWidth="1"/>
    <col min="5380" max="5380" width="21.5703125" style="1" customWidth="1"/>
    <col min="5381" max="5381" width="21" style="1" customWidth="1"/>
    <col min="5382" max="5382" width="21.5703125" style="1" customWidth="1"/>
    <col min="5383" max="5383" width="15.28515625" style="1" bestFit="1" customWidth="1"/>
    <col min="5384" max="5386" width="9.140625" style="1"/>
    <col min="5387" max="5387" width="21.140625" style="1" customWidth="1"/>
    <col min="5388" max="5388" width="9.140625" style="1"/>
    <col min="5389" max="5389" width="36.28515625" style="1" customWidth="1"/>
    <col min="5390" max="5390" width="16.85546875" style="1" customWidth="1"/>
    <col min="5391" max="5634" width="9.140625" style="1"/>
    <col min="5635" max="5635" width="106.140625" style="1" customWidth="1"/>
    <col min="5636" max="5636" width="21.5703125" style="1" customWidth="1"/>
    <col min="5637" max="5637" width="21" style="1" customWidth="1"/>
    <col min="5638" max="5638" width="21.5703125" style="1" customWidth="1"/>
    <col min="5639" max="5639" width="15.28515625" style="1" bestFit="1" customWidth="1"/>
    <col min="5640" max="5642" width="9.140625" style="1"/>
    <col min="5643" max="5643" width="21.140625" style="1" customWidth="1"/>
    <col min="5644" max="5644" width="9.140625" style="1"/>
    <col min="5645" max="5645" width="36.28515625" style="1" customWidth="1"/>
    <col min="5646" max="5646" width="16.85546875" style="1" customWidth="1"/>
    <col min="5647" max="5890" width="9.140625" style="1"/>
    <col min="5891" max="5891" width="106.140625" style="1" customWidth="1"/>
    <col min="5892" max="5892" width="21.5703125" style="1" customWidth="1"/>
    <col min="5893" max="5893" width="21" style="1" customWidth="1"/>
    <col min="5894" max="5894" width="21.5703125" style="1" customWidth="1"/>
    <col min="5895" max="5895" width="15.28515625" style="1" bestFit="1" customWidth="1"/>
    <col min="5896" max="5898" width="9.140625" style="1"/>
    <col min="5899" max="5899" width="21.140625" style="1" customWidth="1"/>
    <col min="5900" max="5900" width="9.140625" style="1"/>
    <col min="5901" max="5901" width="36.28515625" style="1" customWidth="1"/>
    <col min="5902" max="5902" width="16.85546875" style="1" customWidth="1"/>
    <col min="5903" max="6146" width="9.140625" style="1"/>
    <col min="6147" max="6147" width="106.140625" style="1" customWidth="1"/>
    <col min="6148" max="6148" width="21.5703125" style="1" customWidth="1"/>
    <col min="6149" max="6149" width="21" style="1" customWidth="1"/>
    <col min="6150" max="6150" width="21.5703125" style="1" customWidth="1"/>
    <col min="6151" max="6151" width="15.28515625" style="1" bestFit="1" customWidth="1"/>
    <col min="6152" max="6154" width="9.140625" style="1"/>
    <col min="6155" max="6155" width="21.140625" style="1" customWidth="1"/>
    <col min="6156" max="6156" width="9.140625" style="1"/>
    <col min="6157" max="6157" width="36.28515625" style="1" customWidth="1"/>
    <col min="6158" max="6158" width="16.85546875" style="1" customWidth="1"/>
    <col min="6159" max="6402" width="9.140625" style="1"/>
    <col min="6403" max="6403" width="106.140625" style="1" customWidth="1"/>
    <col min="6404" max="6404" width="21.5703125" style="1" customWidth="1"/>
    <col min="6405" max="6405" width="21" style="1" customWidth="1"/>
    <col min="6406" max="6406" width="21.5703125" style="1" customWidth="1"/>
    <col min="6407" max="6407" width="15.28515625" style="1" bestFit="1" customWidth="1"/>
    <col min="6408" max="6410" width="9.140625" style="1"/>
    <col min="6411" max="6411" width="21.140625" style="1" customWidth="1"/>
    <col min="6412" max="6412" width="9.140625" style="1"/>
    <col min="6413" max="6413" width="36.28515625" style="1" customWidth="1"/>
    <col min="6414" max="6414" width="16.85546875" style="1" customWidth="1"/>
    <col min="6415" max="6658" width="9.140625" style="1"/>
    <col min="6659" max="6659" width="106.140625" style="1" customWidth="1"/>
    <col min="6660" max="6660" width="21.5703125" style="1" customWidth="1"/>
    <col min="6661" max="6661" width="21" style="1" customWidth="1"/>
    <col min="6662" max="6662" width="21.5703125" style="1" customWidth="1"/>
    <col min="6663" max="6663" width="15.28515625" style="1" bestFit="1" customWidth="1"/>
    <col min="6664" max="6666" width="9.140625" style="1"/>
    <col min="6667" max="6667" width="21.140625" style="1" customWidth="1"/>
    <col min="6668" max="6668" width="9.140625" style="1"/>
    <col min="6669" max="6669" width="36.28515625" style="1" customWidth="1"/>
    <col min="6670" max="6670" width="16.85546875" style="1" customWidth="1"/>
    <col min="6671" max="6914" width="9.140625" style="1"/>
    <col min="6915" max="6915" width="106.140625" style="1" customWidth="1"/>
    <col min="6916" max="6916" width="21.5703125" style="1" customWidth="1"/>
    <col min="6917" max="6917" width="21" style="1" customWidth="1"/>
    <col min="6918" max="6918" width="21.5703125" style="1" customWidth="1"/>
    <col min="6919" max="6919" width="15.28515625" style="1" bestFit="1" customWidth="1"/>
    <col min="6920" max="6922" width="9.140625" style="1"/>
    <col min="6923" max="6923" width="21.140625" style="1" customWidth="1"/>
    <col min="6924" max="6924" width="9.140625" style="1"/>
    <col min="6925" max="6925" width="36.28515625" style="1" customWidth="1"/>
    <col min="6926" max="6926" width="16.85546875" style="1" customWidth="1"/>
    <col min="6927" max="7170" width="9.140625" style="1"/>
    <col min="7171" max="7171" width="106.140625" style="1" customWidth="1"/>
    <col min="7172" max="7172" width="21.5703125" style="1" customWidth="1"/>
    <col min="7173" max="7173" width="21" style="1" customWidth="1"/>
    <col min="7174" max="7174" width="21.5703125" style="1" customWidth="1"/>
    <col min="7175" max="7175" width="15.28515625" style="1" bestFit="1" customWidth="1"/>
    <col min="7176" max="7178" width="9.140625" style="1"/>
    <col min="7179" max="7179" width="21.140625" style="1" customWidth="1"/>
    <col min="7180" max="7180" width="9.140625" style="1"/>
    <col min="7181" max="7181" width="36.28515625" style="1" customWidth="1"/>
    <col min="7182" max="7182" width="16.85546875" style="1" customWidth="1"/>
    <col min="7183" max="7426" width="9.140625" style="1"/>
    <col min="7427" max="7427" width="106.140625" style="1" customWidth="1"/>
    <col min="7428" max="7428" width="21.5703125" style="1" customWidth="1"/>
    <col min="7429" max="7429" width="21" style="1" customWidth="1"/>
    <col min="7430" max="7430" width="21.5703125" style="1" customWidth="1"/>
    <col min="7431" max="7431" width="15.28515625" style="1" bestFit="1" customWidth="1"/>
    <col min="7432" max="7434" width="9.140625" style="1"/>
    <col min="7435" max="7435" width="21.140625" style="1" customWidth="1"/>
    <col min="7436" max="7436" width="9.140625" style="1"/>
    <col min="7437" max="7437" width="36.28515625" style="1" customWidth="1"/>
    <col min="7438" max="7438" width="16.85546875" style="1" customWidth="1"/>
    <col min="7439" max="7682" width="9.140625" style="1"/>
    <col min="7683" max="7683" width="106.140625" style="1" customWidth="1"/>
    <col min="7684" max="7684" width="21.5703125" style="1" customWidth="1"/>
    <col min="7685" max="7685" width="21" style="1" customWidth="1"/>
    <col min="7686" max="7686" width="21.5703125" style="1" customWidth="1"/>
    <col min="7687" max="7687" width="15.28515625" style="1" bestFit="1" customWidth="1"/>
    <col min="7688" max="7690" width="9.140625" style="1"/>
    <col min="7691" max="7691" width="21.140625" style="1" customWidth="1"/>
    <col min="7692" max="7692" width="9.140625" style="1"/>
    <col min="7693" max="7693" width="36.28515625" style="1" customWidth="1"/>
    <col min="7694" max="7694" width="16.85546875" style="1" customWidth="1"/>
    <col min="7695" max="7938" width="9.140625" style="1"/>
    <col min="7939" max="7939" width="106.140625" style="1" customWidth="1"/>
    <col min="7940" max="7940" width="21.5703125" style="1" customWidth="1"/>
    <col min="7941" max="7941" width="21" style="1" customWidth="1"/>
    <col min="7942" max="7942" width="21.5703125" style="1" customWidth="1"/>
    <col min="7943" max="7943" width="15.28515625" style="1" bestFit="1" customWidth="1"/>
    <col min="7944" max="7946" width="9.140625" style="1"/>
    <col min="7947" max="7947" width="21.140625" style="1" customWidth="1"/>
    <col min="7948" max="7948" width="9.140625" style="1"/>
    <col min="7949" max="7949" width="36.28515625" style="1" customWidth="1"/>
    <col min="7950" max="7950" width="16.85546875" style="1" customWidth="1"/>
    <col min="7951" max="8194" width="9.140625" style="1"/>
    <col min="8195" max="8195" width="106.140625" style="1" customWidth="1"/>
    <col min="8196" max="8196" width="21.5703125" style="1" customWidth="1"/>
    <col min="8197" max="8197" width="21" style="1" customWidth="1"/>
    <col min="8198" max="8198" width="21.5703125" style="1" customWidth="1"/>
    <col min="8199" max="8199" width="15.28515625" style="1" bestFit="1" customWidth="1"/>
    <col min="8200" max="8202" width="9.140625" style="1"/>
    <col min="8203" max="8203" width="21.140625" style="1" customWidth="1"/>
    <col min="8204" max="8204" width="9.140625" style="1"/>
    <col min="8205" max="8205" width="36.28515625" style="1" customWidth="1"/>
    <col min="8206" max="8206" width="16.85546875" style="1" customWidth="1"/>
    <col min="8207" max="8450" width="9.140625" style="1"/>
    <col min="8451" max="8451" width="106.140625" style="1" customWidth="1"/>
    <col min="8452" max="8452" width="21.5703125" style="1" customWidth="1"/>
    <col min="8453" max="8453" width="21" style="1" customWidth="1"/>
    <col min="8454" max="8454" width="21.5703125" style="1" customWidth="1"/>
    <col min="8455" max="8455" width="15.28515625" style="1" bestFit="1" customWidth="1"/>
    <col min="8456" max="8458" width="9.140625" style="1"/>
    <col min="8459" max="8459" width="21.140625" style="1" customWidth="1"/>
    <col min="8460" max="8460" width="9.140625" style="1"/>
    <col min="8461" max="8461" width="36.28515625" style="1" customWidth="1"/>
    <col min="8462" max="8462" width="16.85546875" style="1" customWidth="1"/>
    <col min="8463" max="8706" width="9.140625" style="1"/>
    <col min="8707" max="8707" width="106.140625" style="1" customWidth="1"/>
    <col min="8708" max="8708" width="21.5703125" style="1" customWidth="1"/>
    <col min="8709" max="8709" width="21" style="1" customWidth="1"/>
    <col min="8710" max="8710" width="21.5703125" style="1" customWidth="1"/>
    <col min="8711" max="8711" width="15.28515625" style="1" bestFit="1" customWidth="1"/>
    <col min="8712" max="8714" width="9.140625" style="1"/>
    <col min="8715" max="8715" width="21.140625" style="1" customWidth="1"/>
    <col min="8716" max="8716" width="9.140625" style="1"/>
    <col min="8717" max="8717" width="36.28515625" style="1" customWidth="1"/>
    <col min="8718" max="8718" width="16.85546875" style="1" customWidth="1"/>
    <col min="8719" max="8962" width="9.140625" style="1"/>
    <col min="8963" max="8963" width="106.140625" style="1" customWidth="1"/>
    <col min="8964" max="8964" width="21.5703125" style="1" customWidth="1"/>
    <col min="8965" max="8965" width="21" style="1" customWidth="1"/>
    <col min="8966" max="8966" width="21.5703125" style="1" customWidth="1"/>
    <col min="8967" max="8967" width="15.28515625" style="1" bestFit="1" customWidth="1"/>
    <col min="8968" max="8970" width="9.140625" style="1"/>
    <col min="8971" max="8971" width="21.140625" style="1" customWidth="1"/>
    <col min="8972" max="8972" width="9.140625" style="1"/>
    <col min="8973" max="8973" width="36.28515625" style="1" customWidth="1"/>
    <col min="8974" max="8974" width="16.85546875" style="1" customWidth="1"/>
    <col min="8975" max="9218" width="9.140625" style="1"/>
    <col min="9219" max="9219" width="106.140625" style="1" customWidth="1"/>
    <col min="9220" max="9220" width="21.5703125" style="1" customWidth="1"/>
    <col min="9221" max="9221" width="21" style="1" customWidth="1"/>
    <col min="9222" max="9222" width="21.5703125" style="1" customWidth="1"/>
    <col min="9223" max="9223" width="15.28515625" style="1" bestFit="1" customWidth="1"/>
    <col min="9224" max="9226" width="9.140625" style="1"/>
    <col min="9227" max="9227" width="21.140625" style="1" customWidth="1"/>
    <col min="9228" max="9228" width="9.140625" style="1"/>
    <col min="9229" max="9229" width="36.28515625" style="1" customWidth="1"/>
    <col min="9230" max="9230" width="16.85546875" style="1" customWidth="1"/>
    <col min="9231" max="9474" width="9.140625" style="1"/>
    <col min="9475" max="9475" width="106.140625" style="1" customWidth="1"/>
    <col min="9476" max="9476" width="21.5703125" style="1" customWidth="1"/>
    <col min="9477" max="9477" width="21" style="1" customWidth="1"/>
    <col min="9478" max="9478" width="21.5703125" style="1" customWidth="1"/>
    <col min="9479" max="9479" width="15.28515625" style="1" bestFit="1" customWidth="1"/>
    <col min="9480" max="9482" width="9.140625" style="1"/>
    <col min="9483" max="9483" width="21.140625" style="1" customWidth="1"/>
    <col min="9484" max="9484" width="9.140625" style="1"/>
    <col min="9485" max="9485" width="36.28515625" style="1" customWidth="1"/>
    <col min="9486" max="9486" width="16.85546875" style="1" customWidth="1"/>
    <col min="9487" max="9730" width="9.140625" style="1"/>
    <col min="9731" max="9731" width="106.140625" style="1" customWidth="1"/>
    <col min="9732" max="9732" width="21.5703125" style="1" customWidth="1"/>
    <col min="9733" max="9733" width="21" style="1" customWidth="1"/>
    <col min="9734" max="9734" width="21.5703125" style="1" customWidth="1"/>
    <col min="9735" max="9735" width="15.28515625" style="1" bestFit="1" customWidth="1"/>
    <col min="9736" max="9738" width="9.140625" style="1"/>
    <col min="9739" max="9739" width="21.140625" style="1" customWidth="1"/>
    <col min="9740" max="9740" width="9.140625" style="1"/>
    <col min="9741" max="9741" width="36.28515625" style="1" customWidth="1"/>
    <col min="9742" max="9742" width="16.85546875" style="1" customWidth="1"/>
    <col min="9743" max="9986" width="9.140625" style="1"/>
    <col min="9987" max="9987" width="106.140625" style="1" customWidth="1"/>
    <col min="9988" max="9988" width="21.5703125" style="1" customWidth="1"/>
    <col min="9989" max="9989" width="21" style="1" customWidth="1"/>
    <col min="9990" max="9990" width="21.5703125" style="1" customWidth="1"/>
    <col min="9991" max="9991" width="15.28515625" style="1" bestFit="1" customWidth="1"/>
    <col min="9992" max="9994" width="9.140625" style="1"/>
    <col min="9995" max="9995" width="21.140625" style="1" customWidth="1"/>
    <col min="9996" max="9996" width="9.140625" style="1"/>
    <col min="9997" max="9997" width="36.28515625" style="1" customWidth="1"/>
    <col min="9998" max="9998" width="16.85546875" style="1" customWidth="1"/>
    <col min="9999" max="10242" width="9.140625" style="1"/>
    <col min="10243" max="10243" width="106.140625" style="1" customWidth="1"/>
    <col min="10244" max="10244" width="21.5703125" style="1" customWidth="1"/>
    <col min="10245" max="10245" width="21" style="1" customWidth="1"/>
    <col min="10246" max="10246" width="21.5703125" style="1" customWidth="1"/>
    <col min="10247" max="10247" width="15.28515625" style="1" bestFit="1" customWidth="1"/>
    <col min="10248" max="10250" width="9.140625" style="1"/>
    <col min="10251" max="10251" width="21.140625" style="1" customWidth="1"/>
    <col min="10252" max="10252" width="9.140625" style="1"/>
    <col min="10253" max="10253" width="36.28515625" style="1" customWidth="1"/>
    <col min="10254" max="10254" width="16.85546875" style="1" customWidth="1"/>
    <col min="10255" max="10498" width="9.140625" style="1"/>
    <col min="10499" max="10499" width="106.140625" style="1" customWidth="1"/>
    <col min="10500" max="10500" width="21.5703125" style="1" customWidth="1"/>
    <col min="10501" max="10501" width="21" style="1" customWidth="1"/>
    <col min="10502" max="10502" width="21.5703125" style="1" customWidth="1"/>
    <col min="10503" max="10503" width="15.28515625" style="1" bestFit="1" customWidth="1"/>
    <col min="10504" max="10506" width="9.140625" style="1"/>
    <col min="10507" max="10507" width="21.140625" style="1" customWidth="1"/>
    <col min="10508" max="10508" width="9.140625" style="1"/>
    <col min="10509" max="10509" width="36.28515625" style="1" customWidth="1"/>
    <col min="10510" max="10510" width="16.85546875" style="1" customWidth="1"/>
    <col min="10511" max="10754" width="9.140625" style="1"/>
    <col min="10755" max="10755" width="106.140625" style="1" customWidth="1"/>
    <col min="10756" max="10756" width="21.5703125" style="1" customWidth="1"/>
    <col min="10757" max="10757" width="21" style="1" customWidth="1"/>
    <col min="10758" max="10758" width="21.5703125" style="1" customWidth="1"/>
    <col min="10759" max="10759" width="15.28515625" style="1" bestFit="1" customWidth="1"/>
    <col min="10760" max="10762" width="9.140625" style="1"/>
    <col min="10763" max="10763" width="21.140625" style="1" customWidth="1"/>
    <col min="10764" max="10764" width="9.140625" style="1"/>
    <col min="10765" max="10765" width="36.28515625" style="1" customWidth="1"/>
    <col min="10766" max="10766" width="16.85546875" style="1" customWidth="1"/>
    <col min="10767" max="11010" width="9.140625" style="1"/>
    <col min="11011" max="11011" width="106.140625" style="1" customWidth="1"/>
    <col min="11012" max="11012" width="21.5703125" style="1" customWidth="1"/>
    <col min="11013" max="11013" width="21" style="1" customWidth="1"/>
    <col min="11014" max="11014" width="21.5703125" style="1" customWidth="1"/>
    <col min="11015" max="11015" width="15.28515625" style="1" bestFit="1" customWidth="1"/>
    <col min="11016" max="11018" width="9.140625" style="1"/>
    <col min="11019" max="11019" width="21.140625" style="1" customWidth="1"/>
    <col min="11020" max="11020" width="9.140625" style="1"/>
    <col min="11021" max="11021" width="36.28515625" style="1" customWidth="1"/>
    <col min="11022" max="11022" width="16.85546875" style="1" customWidth="1"/>
    <col min="11023" max="11266" width="9.140625" style="1"/>
    <col min="11267" max="11267" width="106.140625" style="1" customWidth="1"/>
    <col min="11268" max="11268" width="21.5703125" style="1" customWidth="1"/>
    <col min="11269" max="11269" width="21" style="1" customWidth="1"/>
    <col min="11270" max="11270" width="21.5703125" style="1" customWidth="1"/>
    <col min="11271" max="11271" width="15.28515625" style="1" bestFit="1" customWidth="1"/>
    <col min="11272" max="11274" width="9.140625" style="1"/>
    <col min="11275" max="11275" width="21.140625" style="1" customWidth="1"/>
    <col min="11276" max="11276" width="9.140625" style="1"/>
    <col min="11277" max="11277" width="36.28515625" style="1" customWidth="1"/>
    <col min="11278" max="11278" width="16.85546875" style="1" customWidth="1"/>
    <col min="11279" max="11522" width="9.140625" style="1"/>
    <col min="11523" max="11523" width="106.140625" style="1" customWidth="1"/>
    <col min="11524" max="11524" width="21.5703125" style="1" customWidth="1"/>
    <col min="11525" max="11525" width="21" style="1" customWidth="1"/>
    <col min="11526" max="11526" width="21.5703125" style="1" customWidth="1"/>
    <col min="11527" max="11527" width="15.28515625" style="1" bestFit="1" customWidth="1"/>
    <col min="11528" max="11530" width="9.140625" style="1"/>
    <col min="11531" max="11531" width="21.140625" style="1" customWidth="1"/>
    <col min="11532" max="11532" width="9.140625" style="1"/>
    <col min="11533" max="11533" width="36.28515625" style="1" customWidth="1"/>
    <col min="11534" max="11534" width="16.85546875" style="1" customWidth="1"/>
    <col min="11535" max="11778" width="9.140625" style="1"/>
    <col min="11779" max="11779" width="106.140625" style="1" customWidth="1"/>
    <col min="11780" max="11780" width="21.5703125" style="1" customWidth="1"/>
    <col min="11781" max="11781" width="21" style="1" customWidth="1"/>
    <col min="11782" max="11782" width="21.5703125" style="1" customWidth="1"/>
    <col min="11783" max="11783" width="15.28515625" style="1" bestFit="1" customWidth="1"/>
    <col min="11784" max="11786" width="9.140625" style="1"/>
    <col min="11787" max="11787" width="21.140625" style="1" customWidth="1"/>
    <col min="11788" max="11788" width="9.140625" style="1"/>
    <col min="11789" max="11789" width="36.28515625" style="1" customWidth="1"/>
    <col min="11790" max="11790" width="16.85546875" style="1" customWidth="1"/>
    <col min="11791" max="12034" width="9.140625" style="1"/>
    <col min="12035" max="12035" width="106.140625" style="1" customWidth="1"/>
    <col min="12036" max="12036" width="21.5703125" style="1" customWidth="1"/>
    <col min="12037" max="12037" width="21" style="1" customWidth="1"/>
    <col min="12038" max="12038" width="21.5703125" style="1" customWidth="1"/>
    <col min="12039" max="12039" width="15.28515625" style="1" bestFit="1" customWidth="1"/>
    <col min="12040" max="12042" width="9.140625" style="1"/>
    <col min="12043" max="12043" width="21.140625" style="1" customWidth="1"/>
    <col min="12044" max="12044" width="9.140625" style="1"/>
    <col min="12045" max="12045" width="36.28515625" style="1" customWidth="1"/>
    <col min="12046" max="12046" width="16.85546875" style="1" customWidth="1"/>
    <col min="12047" max="12290" width="9.140625" style="1"/>
    <col min="12291" max="12291" width="106.140625" style="1" customWidth="1"/>
    <col min="12292" max="12292" width="21.5703125" style="1" customWidth="1"/>
    <col min="12293" max="12293" width="21" style="1" customWidth="1"/>
    <col min="12294" max="12294" width="21.5703125" style="1" customWidth="1"/>
    <col min="12295" max="12295" width="15.28515625" style="1" bestFit="1" customWidth="1"/>
    <col min="12296" max="12298" width="9.140625" style="1"/>
    <col min="12299" max="12299" width="21.140625" style="1" customWidth="1"/>
    <col min="12300" max="12300" width="9.140625" style="1"/>
    <col min="12301" max="12301" width="36.28515625" style="1" customWidth="1"/>
    <col min="12302" max="12302" width="16.85546875" style="1" customWidth="1"/>
    <col min="12303" max="12546" width="9.140625" style="1"/>
    <col min="12547" max="12547" width="106.140625" style="1" customWidth="1"/>
    <col min="12548" max="12548" width="21.5703125" style="1" customWidth="1"/>
    <col min="12549" max="12549" width="21" style="1" customWidth="1"/>
    <col min="12550" max="12550" width="21.5703125" style="1" customWidth="1"/>
    <col min="12551" max="12551" width="15.28515625" style="1" bestFit="1" customWidth="1"/>
    <col min="12552" max="12554" width="9.140625" style="1"/>
    <col min="12555" max="12555" width="21.140625" style="1" customWidth="1"/>
    <col min="12556" max="12556" width="9.140625" style="1"/>
    <col min="12557" max="12557" width="36.28515625" style="1" customWidth="1"/>
    <col min="12558" max="12558" width="16.85546875" style="1" customWidth="1"/>
    <col min="12559" max="12802" width="9.140625" style="1"/>
    <col min="12803" max="12803" width="106.140625" style="1" customWidth="1"/>
    <col min="12804" max="12804" width="21.5703125" style="1" customWidth="1"/>
    <col min="12805" max="12805" width="21" style="1" customWidth="1"/>
    <col min="12806" max="12806" width="21.5703125" style="1" customWidth="1"/>
    <col min="12807" max="12807" width="15.28515625" style="1" bestFit="1" customWidth="1"/>
    <col min="12808" max="12810" width="9.140625" style="1"/>
    <col min="12811" max="12811" width="21.140625" style="1" customWidth="1"/>
    <col min="12812" max="12812" width="9.140625" style="1"/>
    <col min="12813" max="12813" width="36.28515625" style="1" customWidth="1"/>
    <col min="12814" max="12814" width="16.85546875" style="1" customWidth="1"/>
    <col min="12815" max="13058" width="9.140625" style="1"/>
    <col min="13059" max="13059" width="106.140625" style="1" customWidth="1"/>
    <col min="13060" max="13060" width="21.5703125" style="1" customWidth="1"/>
    <col min="13061" max="13061" width="21" style="1" customWidth="1"/>
    <col min="13062" max="13062" width="21.5703125" style="1" customWidth="1"/>
    <col min="13063" max="13063" width="15.28515625" style="1" bestFit="1" customWidth="1"/>
    <col min="13064" max="13066" width="9.140625" style="1"/>
    <col min="13067" max="13067" width="21.140625" style="1" customWidth="1"/>
    <col min="13068" max="13068" width="9.140625" style="1"/>
    <col min="13069" max="13069" width="36.28515625" style="1" customWidth="1"/>
    <col min="13070" max="13070" width="16.85546875" style="1" customWidth="1"/>
    <col min="13071" max="13314" width="9.140625" style="1"/>
    <col min="13315" max="13315" width="106.140625" style="1" customWidth="1"/>
    <col min="13316" max="13316" width="21.5703125" style="1" customWidth="1"/>
    <col min="13317" max="13317" width="21" style="1" customWidth="1"/>
    <col min="13318" max="13318" width="21.5703125" style="1" customWidth="1"/>
    <col min="13319" max="13319" width="15.28515625" style="1" bestFit="1" customWidth="1"/>
    <col min="13320" max="13322" width="9.140625" style="1"/>
    <col min="13323" max="13323" width="21.140625" style="1" customWidth="1"/>
    <col min="13324" max="13324" width="9.140625" style="1"/>
    <col min="13325" max="13325" width="36.28515625" style="1" customWidth="1"/>
    <col min="13326" max="13326" width="16.85546875" style="1" customWidth="1"/>
    <col min="13327" max="13570" width="9.140625" style="1"/>
    <col min="13571" max="13571" width="106.140625" style="1" customWidth="1"/>
    <col min="13572" max="13572" width="21.5703125" style="1" customWidth="1"/>
    <col min="13573" max="13573" width="21" style="1" customWidth="1"/>
    <col min="13574" max="13574" width="21.5703125" style="1" customWidth="1"/>
    <col min="13575" max="13575" width="15.28515625" style="1" bestFit="1" customWidth="1"/>
    <col min="13576" max="13578" width="9.140625" style="1"/>
    <col min="13579" max="13579" width="21.140625" style="1" customWidth="1"/>
    <col min="13580" max="13580" width="9.140625" style="1"/>
    <col min="13581" max="13581" width="36.28515625" style="1" customWidth="1"/>
    <col min="13582" max="13582" width="16.85546875" style="1" customWidth="1"/>
    <col min="13583" max="13826" width="9.140625" style="1"/>
    <col min="13827" max="13827" width="106.140625" style="1" customWidth="1"/>
    <col min="13828" max="13828" width="21.5703125" style="1" customWidth="1"/>
    <col min="13829" max="13829" width="21" style="1" customWidth="1"/>
    <col min="13830" max="13830" width="21.5703125" style="1" customWidth="1"/>
    <col min="13831" max="13831" width="15.28515625" style="1" bestFit="1" customWidth="1"/>
    <col min="13832" max="13834" width="9.140625" style="1"/>
    <col min="13835" max="13835" width="21.140625" style="1" customWidth="1"/>
    <col min="13836" max="13836" width="9.140625" style="1"/>
    <col min="13837" max="13837" width="36.28515625" style="1" customWidth="1"/>
    <col min="13838" max="13838" width="16.85546875" style="1" customWidth="1"/>
    <col min="13839" max="14082" width="9.140625" style="1"/>
    <col min="14083" max="14083" width="106.140625" style="1" customWidth="1"/>
    <col min="14084" max="14084" width="21.5703125" style="1" customWidth="1"/>
    <col min="14085" max="14085" width="21" style="1" customWidth="1"/>
    <col min="14086" max="14086" width="21.5703125" style="1" customWidth="1"/>
    <col min="14087" max="14087" width="15.28515625" style="1" bestFit="1" customWidth="1"/>
    <col min="14088" max="14090" width="9.140625" style="1"/>
    <col min="14091" max="14091" width="21.140625" style="1" customWidth="1"/>
    <col min="14092" max="14092" width="9.140625" style="1"/>
    <col min="14093" max="14093" width="36.28515625" style="1" customWidth="1"/>
    <col min="14094" max="14094" width="16.85546875" style="1" customWidth="1"/>
    <col min="14095" max="14338" width="9.140625" style="1"/>
    <col min="14339" max="14339" width="106.140625" style="1" customWidth="1"/>
    <col min="14340" max="14340" width="21.5703125" style="1" customWidth="1"/>
    <col min="14341" max="14341" width="21" style="1" customWidth="1"/>
    <col min="14342" max="14342" width="21.5703125" style="1" customWidth="1"/>
    <col min="14343" max="14343" width="15.28515625" style="1" bestFit="1" customWidth="1"/>
    <col min="14344" max="14346" width="9.140625" style="1"/>
    <col min="14347" max="14347" width="21.140625" style="1" customWidth="1"/>
    <col min="14348" max="14348" width="9.140625" style="1"/>
    <col min="14349" max="14349" width="36.28515625" style="1" customWidth="1"/>
    <col min="14350" max="14350" width="16.85546875" style="1" customWidth="1"/>
    <col min="14351" max="14594" width="9.140625" style="1"/>
    <col min="14595" max="14595" width="106.140625" style="1" customWidth="1"/>
    <col min="14596" max="14596" width="21.5703125" style="1" customWidth="1"/>
    <col min="14597" max="14597" width="21" style="1" customWidth="1"/>
    <col min="14598" max="14598" width="21.5703125" style="1" customWidth="1"/>
    <col min="14599" max="14599" width="15.28515625" style="1" bestFit="1" customWidth="1"/>
    <col min="14600" max="14602" width="9.140625" style="1"/>
    <col min="14603" max="14603" width="21.140625" style="1" customWidth="1"/>
    <col min="14604" max="14604" width="9.140625" style="1"/>
    <col min="14605" max="14605" width="36.28515625" style="1" customWidth="1"/>
    <col min="14606" max="14606" width="16.85546875" style="1" customWidth="1"/>
    <col min="14607" max="14850" width="9.140625" style="1"/>
    <col min="14851" max="14851" width="106.140625" style="1" customWidth="1"/>
    <col min="14852" max="14852" width="21.5703125" style="1" customWidth="1"/>
    <col min="14853" max="14853" width="21" style="1" customWidth="1"/>
    <col min="14854" max="14854" width="21.5703125" style="1" customWidth="1"/>
    <col min="14855" max="14855" width="15.28515625" style="1" bestFit="1" customWidth="1"/>
    <col min="14856" max="14858" width="9.140625" style="1"/>
    <col min="14859" max="14859" width="21.140625" style="1" customWidth="1"/>
    <col min="14860" max="14860" width="9.140625" style="1"/>
    <col min="14861" max="14861" width="36.28515625" style="1" customWidth="1"/>
    <col min="14862" max="14862" width="16.85546875" style="1" customWidth="1"/>
    <col min="14863" max="15106" width="9.140625" style="1"/>
    <col min="15107" max="15107" width="106.140625" style="1" customWidth="1"/>
    <col min="15108" max="15108" width="21.5703125" style="1" customWidth="1"/>
    <col min="15109" max="15109" width="21" style="1" customWidth="1"/>
    <col min="15110" max="15110" width="21.5703125" style="1" customWidth="1"/>
    <col min="15111" max="15111" width="15.28515625" style="1" bestFit="1" customWidth="1"/>
    <col min="15112" max="15114" width="9.140625" style="1"/>
    <col min="15115" max="15115" width="21.140625" style="1" customWidth="1"/>
    <col min="15116" max="15116" width="9.140625" style="1"/>
    <col min="15117" max="15117" width="36.28515625" style="1" customWidth="1"/>
    <col min="15118" max="15118" width="16.85546875" style="1" customWidth="1"/>
    <col min="15119" max="15362" width="9.140625" style="1"/>
    <col min="15363" max="15363" width="106.140625" style="1" customWidth="1"/>
    <col min="15364" max="15364" width="21.5703125" style="1" customWidth="1"/>
    <col min="15365" max="15365" width="21" style="1" customWidth="1"/>
    <col min="15366" max="15366" width="21.5703125" style="1" customWidth="1"/>
    <col min="15367" max="15367" width="15.28515625" style="1" bestFit="1" customWidth="1"/>
    <col min="15368" max="15370" width="9.140625" style="1"/>
    <col min="15371" max="15371" width="21.140625" style="1" customWidth="1"/>
    <col min="15372" max="15372" width="9.140625" style="1"/>
    <col min="15373" max="15373" width="36.28515625" style="1" customWidth="1"/>
    <col min="15374" max="15374" width="16.85546875" style="1" customWidth="1"/>
    <col min="15375" max="15618" width="9.140625" style="1"/>
    <col min="15619" max="15619" width="106.140625" style="1" customWidth="1"/>
    <col min="15620" max="15620" width="21.5703125" style="1" customWidth="1"/>
    <col min="15621" max="15621" width="21" style="1" customWidth="1"/>
    <col min="15622" max="15622" width="21.5703125" style="1" customWidth="1"/>
    <col min="15623" max="15623" width="15.28515625" style="1" bestFit="1" customWidth="1"/>
    <col min="15624" max="15626" width="9.140625" style="1"/>
    <col min="15627" max="15627" width="21.140625" style="1" customWidth="1"/>
    <col min="15628" max="15628" width="9.140625" style="1"/>
    <col min="15629" max="15629" width="36.28515625" style="1" customWidth="1"/>
    <col min="15630" max="15630" width="16.85546875" style="1" customWidth="1"/>
    <col min="15631" max="15874" width="9.140625" style="1"/>
    <col min="15875" max="15875" width="106.140625" style="1" customWidth="1"/>
    <col min="15876" max="15876" width="21.5703125" style="1" customWidth="1"/>
    <col min="15877" max="15877" width="21" style="1" customWidth="1"/>
    <col min="15878" max="15878" width="21.5703125" style="1" customWidth="1"/>
    <col min="15879" max="15879" width="15.28515625" style="1" bestFit="1" customWidth="1"/>
    <col min="15880" max="15882" width="9.140625" style="1"/>
    <col min="15883" max="15883" width="21.140625" style="1" customWidth="1"/>
    <col min="15884" max="15884" width="9.140625" style="1"/>
    <col min="15885" max="15885" width="36.28515625" style="1" customWidth="1"/>
    <col min="15886" max="15886" width="16.85546875" style="1" customWidth="1"/>
    <col min="15887" max="16130" width="9.140625" style="1"/>
    <col min="16131" max="16131" width="106.140625" style="1" customWidth="1"/>
    <col min="16132" max="16132" width="21.5703125" style="1" customWidth="1"/>
    <col min="16133" max="16133" width="21" style="1" customWidth="1"/>
    <col min="16134" max="16134" width="21.5703125" style="1" customWidth="1"/>
    <col min="16135" max="16135" width="15.28515625" style="1" bestFit="1" customWidth="1"/>
    <col min="16136" max="16138" width="9.140625" style="1"/>
    <col min="16139" max="16139" width="21.140625" style="1" customWidth="1"/>
    <col min="16140" max="16140" width="9.140625" style="1"/>
    <col min="16141" max="16141" width="36.28515625" style="1" customWidth="1"/>
    <col min="16142" max="16142" width="16.85546875" style="1" customWidth="1"/>
    <col min="16143" max="16384" width="9.140625" style="1"/>
  </cols>
  <sheetData>
    <row r="1" spans="1:12" x14ac:dyDescent="0.35">
      <c r="G1" s="354" t="s">
        <v>278</v>
      </c>
      <c r="H1" s="354"/>
    </row>
    <row r="2" spans="1:12" ht="36" x14ac:dyDescent="0.55000000000000004">
      <c r="B2" s="56" t="s">
        <v>148</v>
      </c>
      <c r="C2" s="56"/>
      <c r="D2" s="2"/>
      <c r="E2" s="126" t="s">
        <v>0</v>
      </c>
      <c r="F2" s="126"/>
      <c r="K2" s="352"/>
      <c r="L2" s="352"/>
    </row>
    <row r="3" spans="1:12" ht="26.25" x14ac:dyDescent="0.4">
      <c r="D3" s="2"/>
      <c r="E3" s="126" t="s">
        <v>1</v>
      </c>
      <c r="F3" s="126"/>
      <c r="K3" s="352"/>
      <c r="L3" s="352"/>
    </row>
    <row r="4" spans="1:12" ht="26.25" x14ac:dyDescent="0.4">
      <c r="D4" s="2"/>
      <c r="E4" s="126" t="s">
        <v>2</v>
      </c>
      <c r="F4" s="126"/>
      <c r="K4" s="352"/>
      <c r="L4" s="352"/>
    </row>
    <row r="5" spans="1:12" x14ac:dyDescent="0.35">
      <c r="K5" s="352"/>
      <c r="L5" s="352"/>
    </row>
    <row r="6" spans="1:12" ht="37.5" customHeight="1" x14ac:dyDescent="0.45">
      <c r="A6" s="338" t="s">
        <v>370</v>
      </c>
      <c r="B6" s="338"/>
      <c r="C6" s="338"/>
      <c r="D6" s="338"/>
      <c r="E6" s="338"/>
      <c r="F6" s="338"/>
      <c r="G6" s="4"/>
      <c r="H6" s="4"/>
      <c r="I6" s="5"/>
      <c r="K6" s="352"/>
      <c r="L6" s="352"/>
    </row>
    <row r="7" spans="1:12" ht="22.5" customHeight="1" x14ac:dyDescent="0.35">
      <c r="A7" s="139"/>
      <c r="B7" s="3"/>
      <c r="C7" s="3"/>
      <c r="D7" s="3"/>
      <c r="E7" s="3"/>
      <c r="F7" s="3"/>
      <c r="G7" s="3"/>
      <c r="K7" s="352"/>
      <c r="L7" s="352"/>
    </row>
    <row r="8" spans="1:12" ht="24.75" customHeight="1" x14ac:dyDescent="0.4">
      <c r="A8" s="345" t="s">
        <v>71</v>
      </c>
      <c r="B8" s="333" t="s">
        <v>3</v>
      </c>
      <c r="C8" s="334"/>
      <c r="D8" s="339" t="s">
        <v>371</v>
      </c>
      <c r="E8" s="340"/>
      <c r="F8" s="341"/>
      <c r="G8" s="360" t="s">
        <v>145</v>
      </c>
      <c r="H8" s="360" t="s">
        <v>146</v>
      </c>
      <c r="K8" s="353"/>
      <c r="L8" s="353"/>
    </row>
    <row r="9" spans="1:12" ht="61.5" customHeight="1" x14ac:dyDescent="0.35">
      <c r="A9" s="346"/>
      <c r="B9" s="333" t="s">
        <v>182</v>
      </c>
      <c r="C9" s="334"/>
      <c r="D9" s="315" t="s">
        <v>183</v>
      </c>
      <c r="E9" s="342"/>
      <c r="F9" s="343"/>
      <c r="G9" s="360"/>
      <c r="H9" s="360"/>
    </row>
    <row r="10" spans="1:12" ht="30" customHeight="1" x14ac:dyDescent="0.35">
      <c r="A10" s="346"/>
      <c r="B10" s="333" t="s">
        <v>184</v>
      </c>
      <c r="C10" s="334"/>
      <c r="D10" s="7"/>
      <c r="E10" s="8" t="s">
        <v>372</v>
      </c>
      <c r="F10" s="9"/>
      <c r="G10" s="360"/>
      <c r="H10" s="360"/>
    </row>
    <row r="11" spans="1:12" ht="22.5" customHeight="1" x14ac:dyDescent="0.35">
      <c r="A11" s="346"/>
      <c r="B11" s="333" t="s">
        <v>185</v>
      </c>
      <c r="C11" s="334"/>
      <c r="D11" s="10"/>
      <c r="E11" s="11"/>
      <c r="F11" s="12"/>
      <c r="G11" s="360"/>
      <c r="H11" s="360"/>
    </row>
    <row r="12" spans="1:12" x14ac:dyDescent="0.35">
      <c r="A12" s="346"/>
      <c r="B12" s="333" t="s">
        <v>8</v>
      </c>
      <c r="C12" s="334"/>
      <c r="D12" s="10"/>
      <c r="E12" s="11"/>
      <c r="F12" s="12"/>
      <c r="G12" s="360"/>
      <c r="H12" s="360"/>
    </row>
    <row r="13" spans="1:12" x14ac:dyDescent="0.35">
      <c r="A13" s="346"/>
      <c r="B13" s="321" t="s">
        <v>9</v>
      </c>
      <c r="C13" s="322"/>
      <c r="D13" s="14"/>
      <c r="E13" s="15">
        <v>2909.5</v>
      </c>
      <c r="F13" s="16"/>
      <c r="G13" s="360"/>
      <c r="H13" s="360"/>
    </row>
    <row r="14" spans="1:12" x14ac:dyDescent="0.35">
      <c r="A14" s="346"/>
      <c r="B14" s="335" t="s">
        <v>10</v>
      </c>
      <c r="C14" s="335"/>
      <c r="E14" s="15">
        <v>2829.5</v>
      </c>
      <c r="F14" s="16"/>
      <c r="G14" s="360"/>
      <c r="H14" s="360"/>
    </row>
    <row r="15" spans="1:12" x14ac:dyDescent="0.35">
      <c r="A15" s="346"/>
      <c r="B15" s="321" t="s">
        <v>11</v>
      </c>
      <c r="C15" s="322"/>
      <c r="D15" s="14"/>
      <c r="E15" s="15">
        <v>79.900000000000006</v>
      </c>
      <c r="F15" s="16"/>
      <c r="G15" s="360"/>
      <c r="H15" s="360"/>
    </row>
    <row r="16" spans="1:12" ht="163.5" thickBot="1" x14ac:dyDescent="0.4">
      <c r="A16" s="347"/>
      <c r="B16" s="336" t="s">
        <v>12</v>
      </c>
      <c r="C16" s="337"/>
      <c r="D16" s="13" t="s">
        <v>13</v>
      </c>
      <c r="E16" s="13" t="s">
        <v>14</v>
      </c>
      <c r="F16" s="17" t="s">
        <v>15</v>
      </c>
      <c r="G16" s="360"/>
      <c r="H16" s="360"/>
    </row>
    <row r="17" spans="1:20" ht="33" customHeight="1" thickBot="1" x14ac:dyDescent="0.4">
      <c r="A17" s="140">
        <v>1</v>
      </c>
      <c r="B17" s="317" t="s">
        <v>16</v>
      </c>
      <c r="C17" s="318"/>
      <c r="D17" s="75">
        <f>D28+D29</f>
        <v>21010.432068230279</v>
      </c>
      <c r="E17" s="75">
        <f>E18+E19+E20+E21+E22+E23+E24+E25+E26+E27</f>
        <v>99.999999999999986</v>
      </c>
      <c r="F17" s="75">
        <f>D17/$E$13/1</f>
        <v>7.2213205252552939</v>
      </c>
      <c r="G17" s="3"/>
      <c r="I17" s="164"/>
      <c r="K17" s="306" t="s">
        <v>211</v>
      </c>
      <c r="L17" s="307"/>
      <c r="M17" s="307"/>
      <c r="N17" s="307"/>
      <c r="O17" s="307"/>
      <c r="P17" s="307"/>
      <c r="Q17" s="307"/>
      <c r="R17" s="307"/>
      <c r="S17" s="307"/>
      <c r="T17" s="308"/>
    </row>
    <row r="18" spans="1:20" s="3" customFormat="1" ht="24" thickBot="1" x14ac:dyDescent="0.4">
      <c r="A18" s="140"/>
      <c r="B18" s="315" t="s">
        <v>17</v>
      </c>
      <c r="C18" s="316"/>
      <c r="D18" s="76">
        <v>7200</v>
      </c>
      <c r="E18" s="76">
        <f t="shared" ref="E18:E27" si="0">D18*100/$D$28</f>
        <v>34.268690794260571</v>
      </c>
      <c r="F18" s="76"/>
      <c r="G18" s="57">
        <v>15351</v>
      </c>
      <c r="H18" s="85">
        <v>1.9</v>
      </c>
      <c r="I18" s="1"/>
      <c r="K18" s="161" t="s">
        <v>208</v>
      </c>
      <c r="L18" s="161">
        <v>2</v>
      </c>
      <c r="M18" s="161">
        <v>22</v>
      </c>
      <c r="N18" s="161">
        <v>31</v>
      </c>
      <c r="O18" s="161">
        <v>44</v>
      </c>
      <c r="P18" s="161">
        <v>76</v>
      </c>
      <c r="Q18" s="161">
        <v>82</v>
      </c>
      <c r="R18" s="161">
        <v>83</v>
      </c>
      <c r="S18" s="161">
        <v>111</v>
      </c>
      <c r="T18" s="161" t="s">
        <v>210</v>
      </c>
    </row>
    <row r="19" spans="1:20" s="3" customFormat="1" ht="24" thickBot="1" x14ac:dyDescent="0.4">
      <c r="A19" s="140"/>
      <c r="B19" s="315" t="s">
        <v>18</v>
      </c>
      <c r="C19" s="316"/>
      <c r="D19" s="76">
        <f>D18*8.3%</f>
        <v>597.6</v>
      </c>
      <c r="E19" s="76">
        <f t="shared" si="0"/>
        <v>2.8443013359236273</v>
      </c>
      <c r="F19" s="76"/>
      <c r="I19" s="1"/>
      <c r="K19" s="161" t="s">
        <v>209</v>
      </c>
      <c r="L19" s="162">
        <v>3.1399999999999997E-2</v>
      </c>
      <c r="M19" s="162">
        <v>3.3399999999999999E-2</v>
      </c>
      <c r="N19" s="162">
        <v>3.4500000000000003E-2</v>
      </c>
      <c r="O19" s="162">
        <v>3.1399999999999997E-2</v>
      </c>
      <c r="P19" s="162">
        <v>3.5299999999999998E-2</v>
      </c>
      <c r="Q19" s="162">
        <v>3.3399999999999999E-2</v>
      </c>
      <c r="R19" s="162">
        <v>3.3399999999999999E-2</v>
      </c>
      <c r="S19" s="162">
        <v>3.2399999999999998E-2</v>
      </c>
      <c r="T19" s="162">
        <v>3.04E-2</v>
      </c>
    </row>
    <row r="20" spans="1:20" s="3" customFormat="1" ht="24" customHeight="1" x14ac:dyDescent="0.35">
      <c r="A20" s="140"/>
      <c r="B20" s="315" t="s">
        <v>165</v>
      </c>
      <c r="C20" s="316"/>
      <c r="D20" s="76">
        <f>(D18+D19)*30.2%</f>
        <v>2354.8751999999999</v>
      </c>
      <c r="E20" s="76">
        <f t="shared" si="0"/>
        <v>11.208123623315627</v>
      </c>
      <c r="F20" s="76"/>
      <c r="I20" s="1"/>
      <c r="K20" s="158"/>
      <c r="L20" s="159"/>
      <c r="M20" s="160"/>
      <c r="N20" s="160"/>
      <c r="O20" s="160"/>
      <c r="P20" s="160"/>
      <c r="Q20" s="160"/>
      <c r="R20" s="160"/>
      <c r="S20" s="160"/>
      <c r="T20" s="160"/>
    </row>
    <row r="21" spans="1:20" s="3" customFormat="1" x14ac:dyDescent="0.35">
      <c r="A21" s="140"/>
      <c r="B21" s="315" t="s">
        <v>19</v>
      </c>
      <c r="C21" s="316"/>
      <c r="D21" s="76">
        <f>(D18)/70*30</f>
        <v>3085.7142857142858</v>
      </c>
      <c r="E21" s="76">
        <f t="shared" si="0"/>
        <v>14.686581768968816</v>
      </c>
      <c r="F21" s="76"/>
      <c r="I21" s="1"/>
      <c r="K21" s="92"/>
      <c r="L21" s="18"/>
    </row>
    <row r="22" spans="1:20" s="3" customFormat="1" x14ac:dyDescent="0.35">
      <c r="A22" s="140"/>
      <c r="B22" s="315" t="s">
        <v>20</v>
      </c>
      <c r="C22" s="316"/>
      <c r="D22" s="76">
        <f>(D18)*5%</f>
        <v>360</v>
      </c>
      <c r="E22" s="76">
        <f t="shared" si="0"/>
        <v>1.7134345397130284</v>
      </c>
      <c r="F22" s="76"/>
      <c r="I22" s="1"/>
      <c r="K22" s="92"/>
      <c r="L22" s="18"/>
    </row>
    <row r="23" spans="1:20" s="3" customFormat="1" x14ac:dyDescent="0.35">
      <c r="A23" s="140"/>
      <c r="B23" s="315" t="s">
        <v>200</v>
      </c>
      <c r="C23" s="316"/>
      <c r="D23" s="76">
        <f>(D18)*3.51%</f>
        <v>252.72</v>
      </c>
      <c r="E23" s="76">
        <f t="shared" si="0"/>
        <v>1.2028310468785459</v>
      </c>
      <c r="F23" s="76"/>
      <c r="I23" s="1"/>
      <c r="K23" s="92"/>
      <c r="L23" s="18"/>
    </row>
    <row r="24" spans="1:20" s="21" customFormat="1" ht="24" thickBot="1" x14ac:dyDescent="0.4">
      <c r="A24" s="141"/>
      <c r="B24" s="128" t="s">
        <v>207</v>
      </c>
      <c r="C24" s="163">
        <f>O19</f>
        <v>3.1399999999999997E-2</v>
      </c>
      <c r="D24" s="76">
        <f>(D18)*C24</f>
        <v>226.07999999999998</v>
      </c>
      <c r="E24" s="76">
        <f t="shared" si="0"/>
        <v>1.0760368909397819</v>
      </c>
      <c r="F24" s="76"/>
      <c r="J24" s="20"/>
      <c r="K24" s="93"/>
      <c r="L24" s="22"/>
      <c r="O24" s="20"/>
      <c r="P24" s="20"/>
    </row>
    <row r="25" spans="1:20" s="21" customFormat="1" ht="27" thickBot="1" x14ac:dyDescent="0.45">
      <c r="A25" s="141"/>
      <c r="B25" s="315" t="s">
        <v>26</v>
      </c>
      <c r="C25" s="316"/>
      <c r="D25" s="76">
        <f>K27</f>
        <v>3151.5648102345413</v>
      </c>
      <c r="E25" s="76">
        <f t="shared" si="0"/>
        <v>14.999999999999996</v>
      </c>
      <c r="F25" s="76"/>
      <c r="G25" s="20"/>
      <c r="H25" s="20"/>
      <c r="J25" s="20"/>
      <c r="K25" s="94">
        <f>D18+D19+D20+D21+D22+D24+D23</f>
        <v>14076.989485714286</v>
      </c>
      <c r="L25" s="22"/>
      <c r="M25" s="25"/>
      <c r="N25" s="24"/>
      <c r="O25" s="20"/>
      <c r="P25" s="20"/>
    </row>
    <row r="26" spans="1:20" s="21" customFormat="1" ht="24" thickBot="1" x14ac:dyDescent="0.4">
      <c r="A26" s="141"/>
      <c r="B26" s="315" t="s">
        <v>27</v>
      </c>
      <c r="C26" s="316"/>
      <c r="D26" s="76">
        <f>K28</f>
        <v>1680.834565458422</v>
      </c>
      <c r="E26" s="76">
        <f t="shared" si="0"/>
        <v>7.9999999999999982</v>
      </c>
      <c r="F26" s="76"/>
      <c r="G26" s="20"/>
      <c r="H26" s="20"/>
      <c r="J26" s="20"/>
      <c r="K26" s="95">
        <f>K25/0.67*0.33</f>
        <v>6933.4425825159915</v>
      </c>
      <c r="L26" s="22"/>
      <c r="M26" s="22"/>
      <c r="N26" s="22"/>
      <c r="O26" s="20"/>
      <c r="P26" s="20"/>
    </row>
    <row r="27" spans="1:20" s="21" customFormat="1" ht="24" thickBot="1" x14ac:dyDescent="0.4">
      <c r="A27" s="141"/>
      <c r="B27" s="315" t="s">
        <v>28</v>
      </c>
      <c r="C27" s="316"/>
      <c r="D27" s="76">
        <f>K29</f>
        <v>2101.0432068230275</v>
      </c>
      <c r="E27" s="76">
        <f t="shared" si="0"/>
        <v>9.9999999999999982</v>
      </c>
      <c r="F27" s="76"/>
      <c r="G27" s="20"/>
      <c r="H27" s="20"/>
      <c r="J27" s="20"/>
      <c r="K27" s="95">
        <f>K26/0.33*0.15</f>
        <v>3151.5648102345413</v>
      </c>
      <c r="L27" s="22"/>
      <c r="M27" s="22"/>
      <c r="N27" s="22"/>
      <c r="O27" s="20"/>
      <c r="P27" s="20"/>
    </row>
    <row r="28" spans="1:20" ht="24" thickBot="1" x14ac:dyDescent="0.4">
      <c r="A28" s="140"/>
      <c r="B28" s="315" t="s">
        <v>29</v>
      </c>
      <c r="C28" s="316"/>
      <c r="D28" s="76">
        <f>D18+D19+D20+D21+D22+D23+D24+D25+D26+D27</f>
        <v>21010.432068230279</v>
      </c>
      <c r="E28" s="76"/>
      <c r="F28" s="76"/>
      <c r="G28" s="3"/>
      <c r="K28" s="96">
        <f>K26/0.33*0.08</f>
        <v>1680.834565458422</v>
      </c>
    </row>
    <row r="29" spans="1:20" ht="24" thickBot="1" x14ac:dyDescent="0.4">
      <c r="A29" s="140"/>
      <c r="B29" s="315" t="s">
        <v>30</v>
      </c>
      <c r="C29" s="316"/>
      <c r="D29" s="76">
        <v>0</v>
      </c>
      <c r="E29" s="76"/>
      <c r="F29" s="76"/>
      <c r="G29" s="3"/>
      <c r="K29" s="97">
        <f>K26/0.33*0.1</f>
        <v>2101.0432068230275</v>
      </c>
    </row>
    <row r="30" spans="1:20" ht="24" thickBot="1" x14ac:dyDescent="0.4">
      <c r="A30" s="140" t="s">
        <v>187</v>
      </c>
      <c r="B30" s="317" t="s">
        <v>23</v>
      </c>
      <c r="C30" s="318"/>
      <c r="D30" s="78">
        <f>D35+D36</f>
        <v>447.7611940298508</v>
      </c>
      <c r="E30" s="78">
        <f>E31+E32+E34</f>
        <v>91.999999999999986</v>
      </c>
      <c r="F30" s="78">
        <f>D30/$E$13/1</f>
        <v>0.15389626878496332</v>
      </c>
      <c r="G30" s="129"/>
      <c r="H30" s="130"/>
      <c r="M30" s="137"/>
      <c r="N30" s="135"/>
      <c r="O30" s="135"/>
      <c r="P30" s="135"/>
      <c r="Q30" s="135"/>
      <c r="R30" s="135"/>
      <c r="S30" s="135"/>
    </row>
    <row r="31" spans="1:20" ht="24" thickBot="1" x14ac:dyDescent="0.4">
      <c r="A31" s="140"/>
      <c r="B31" s="323" t="s">
        <v>37</v>
      </c>
      <c r="C31" s="324"/>
      <c r="D31" s="79">
        <v>300</v>
      </c>
      <c r="E31" s="79">
        <f>D31*100/$D$35</f>
        <v>66.999999999999986</v>
      </c>
      <c r="F31" s="80"/>
      <c r="G31" s="131"/>
      <c r="H31" s="132"/>
      <c r="I31" s="31"/>
      <c r="J31" s="30"/>
      <c r="K31" s="94">
        <f>D31</f>
        <v>300</v>
      </c>
      <c r="M31" s="19" t="s">
        <v>21</v>
      </c>
      <c r="N31" s="114">
        <v>620</v>
      </c>
      <c r="O31" s="136"/>
      <c r="P31" s="136"/>
      <c r="Q31" s="136"/>
      <c r="R31" s="136"/>
      <c r="S31" s="136"/>
    </row>
    <row r="32" spans="1:20" s="21" customFormat="1" ht="24" thickBot="1" x14ac:dyDescent="0.4">
      <c r="A32" s="141"/>
      <c r="B32" s="325" t="s">
        <v>26</v>
      </c>
      <c r="C32" s="326"/>
      <c r="D32" s="79">
        <f>K33</f>
        <v>67.164179104477597</v>
      </c>
      <c r="E32" s="79">
        <f t="shared" ref="E32:E34" si="1">D32*100/$D$35</f>
        <v>14.999999999999995</v>
      </c>
      <c r="F32" s="79"/>
      <c r="G32" s="32"/>
      <c r="H32" s="32"/>
      <c r="I32" s="33"/>
      <c r="J32" s="32"/>
      <c r="K32" s="95">
        <f>K31/0.67*0.33</f>
        <v>147.76119402985074</v>
      </c>
      <c r="L32" s="22"/>
      <c r="M32" s="23" t="s">
        <v>22</v>
      </c>
      <c r="N32" s="115">
        <v>1</v>
      </c>
      <c r="O32" s="134"/>
      <c r="P32" s="133"/>
      <c r="Q32" s="134"/>
      <c r="R32" s="133"/>
      <c r="S32" s="134"/>
    </row>
    <row r="33" spans="1:19" s="21" customFormat="1" ht="24" thickBot="1" x14ac:dyDescent="0.4">
      <c r="A33" s="141"/>
      <c r="B33" s="325" t="s">
        <v>27</v>
      </c>
      <c r="C33" s="326"/>
      <c r="D33" s="79">
        <f>K34</f>
        <v>35.820895522388057</v>
      </c>
      <c r="E33" s="79">
        <f t="shared" si="1"/>
        <v>7.9999999999999982</v>
      </c>
      <c r="F33" s="79"/>
      <c r="G33" s="32"/>
      <c r="H33" s="32"/>
      <c r="I33" s="33"/>
      <c r="J33" s="32"/>
      <c r="K33" s="99">
        <f>K32/0.33*0.15</f>
        <v>67.164179104477597</v>
      </c>
      <c r="L33" s="22"/>
      <c r="M33" s="19" t="s">
        <v>24</v>
      </c>
      <c r="N33" s="116">
        <v>0.5</v>
      </c>
      <c r="O33" s="134"/>
      <c r="P33" s="133"/>
      <c r="Q33" s="134"/>
      <c r="R33" s="133"/>
      <c r="S33" s="134"/>
    </row>
    <row r="34" spans="1:19" s="21" customFormat="1" ht="24" thickBot="1" x14ac:dyDescent="0.4">
      <c r="A34" s="141"/>
      <c r="B34" s="325" t="s">
        <v>28</v>
      </c>
      <c r="C34" s="326"/>
      <c r="D34" s="79">
        <f>K35</f>
        <v>44.776119402985074</v>
      </c>
      <c r="E34" s="79">
        <f t="shared" si="1"/>
        <v>10</v>
      </c>
      <c r="F34" s="79"/>
      <c r="G34" s="32"/>
      <c r="H34" s="32"/>
      <c r="I34" s="33"/>
      <c r="J34" s="32"/>
      <c r="K34" s="101">
        <f>K32/0.33*0.08</f>
        <v>35.820895522388057</v>
      </c>
      <c r="L34" s="22"/>
      <c r="M34" s="19" t="s">
        <v>25</v>
      </c>
      <c r="N34" s="64">
        <v>14</v>
      </c>
      <c r="O34" s="134"/>
      <c r="P34" s="133"/>
      <c r="Q34" s="134"/>
      <c r="R34" s="133"/>
      <c r="S34" s="134"/>
    </row>
    <row r="35" spans="1:19" ht="27" thickBot="1" x14ac:dyDescent="0.45">
      <c r="A35" s="140"/>
      <c r="B35" s="323" t="s">
        <v>29</v>
      </c>
      <c r="C35" s="324"/>
      <c r="D35" s="79">
        <f>D31+D32+D33+D34</f>
        <v>447.7611940298508</v>
      </c>
      <c r="E35" s="79"/>
      <c r="F35" s="80"/>
      <c r="G35" s="30"/>
      <c r="H35" s="30"/>
      <c r="I35" s="31"/>
      <c r="J35" s="30"/>
      <c r="K35" s="97">
        <f>K32/0.33*0.1</f>
        <v>44.776119402985074</v>
      </c>
      <c r="M35" s="19"/>
      <c r="N35" s="65">
        <f>N31*N32*N33*N34/12</f>
        <v>361.66666666666669</v>
      </c>
      <c r="O35" s="134">
        <f>N35*12</f>
        <v>4340</v>
      </c>
      <c r="P35" s="133"/>
      <c r="Q35" s="134"/>
      <c r="R35" s="133"/>
      <c r="S35" s="134"/>
    </row>
    <row r="36" spans="1:19" x14ac:dyDescent="0.35">
      <c r="A36" s="140"/>
      <c r="B36" s="323" t="s">
        <v>30</v>
      </c>
      <c r="C36" s="324"/>
      <c r="D36" s="79">
        <v>0</v>
      </c>
      <c r="E36" s="79"/>
      <c r="F36" s="80"/>
      <c r="G36" s="30"/>
      <c r="H36" s="30"/>
      <c r="I36" s="31"/>
      <c r="J36" s="30"/>
      <c r="K36" s="102"/>
    </row>
    <row r="37" spans="1:19" ht="24" thickBot="1" x14ac:dyDescent="0.4">
      <c r="A37" s="140" t="s">
        <v>188</v>
      </c>
      <c r="B37" s="317" t="s">
        <v>189</v>
      </c>
      <c r="C37" s="318"/>
      <c r="D37" s="78">
        <f>D42+D43</f>
        <v>0</v>
      </c>
      <c r="E37" s="78" t="e">
        <f>E38+E39+E41</f>
        <v>#DIV/0!</v>
      </c>
      <c r="F37" s="78">
        <f>D37/$E$13/1</f>
        <v>0</v>
      </c>
      <c r="G37" s="129"/>
      <c r="H37" s="130"/>
      <c r="M37" s="137"/>
      <c r="N37" s="135"/>
      <c r="O37" s="135"/>
      <c r="P37" s="135"/>
      <c r="Q37" s="135"/>
      <c r="R37" s="135"/>
      <c r="S37" s="135"/>
    </row>
    <row r="38" spans="1:19" ht="24" thickBot="1" x14ac:dyDescent="0.4">
      <c r="A38" s="140"/>
      <c r="B38" s="323" t="s">
        <v>190</v>
      </c>
      <c r="C38" s="324"/>
      <c r="D38" s="79">
        <v>0</v>
      </c>
      <c r="E38" s="79" t="e">
        <f>D38*100/$D$42</f>
        <v>#DIV/0!</v>
      </c>
      <c r="F38" s="80"/>
      <c r="G38" s="131"/>
      <c r="H38" s="132"/>
      <c r="I38" s="31"/>
      <c r="J38" s="30"/>
      <c r="K38" s="94">
        <f>D38</f>
        <v>0</v>
      </c>
      <c r="M38" s="19" t="s">
        <v>141</v>
      </c>
      <c r="N38" s="114">
        <v>0</v>
      </c>
      <c r="O38" s="136"/>
      <c r="P38" s="136"/>
      <c r="Q38" s="136"/>
      <c r="R38" s="136"/>
      <c r="S38" s="136"/>
    </row>
    <row r="39" spans="1:19" s="21" customFormat="1" ht="24" thickBot="1" x14ac:dyDescent="0.4">
      <c r="A39" s="141"/>
      <c r="B39" s="325" t="s">
        <v>26</v>
      </c>
      <c r="C39" s="326"/>
      <c r="D39" s="79">
        <f>K40</f>
        <v>0</v>
      </c>
      <c r="E39" s="79" t="e">
        <f t="shared" ref="E39:E41" si="2">D39*100/$D$42</f>
        <v>#DIV/0!</v>
      </c>
      <c r="F39" s="79"/>
      <c r="G39" s="32"/>
      <c r="H39" s="32"/>
      <c r="I39" s="33"/>
      <c r="J39" s="32"/>
      <c r="K39" s="95">
        <f>K38/0.67*0.33</f>
        <v>0</v>
      </c>
      <c r="L39" s="22"/>
      <c r="M39" s="23" t="s">
        <v>191</v>
      </c>
      <c r="N39" s="147">
        <f>1500.22*1.123*1.07</f>
        <v>1802.6793542</v>
      </c>
      <c r="O39" s="134"/>
      <c r="P39" s="133"/>
      <c r="Q39" s="134"/>
      <c r="R39" s="133"/>
      <c r="S39" s="134"/>
    </row>
    <row r="40" spans="1:19" s="21" customFormat="1" ht="24" thickBot="1" x14ac:dyDescent="0.4">
      <c r="A40" s="141"/>
      <c r="B40" s="325" t="s">
        <v>27</v>
      </c>
      <c r="C40" s="326"/>
      <c r="D40" s="79">
        <f>K41</f>
        <v>0</v>
      </c>
      <c r="E40" s="79" t="e">
        <f t="shared" si="2"/>
        <v>#DIV/0!</v>
      </c>
      <c r="F40" s="79"/>
      <c r="G40" s="32"/>
      <c r="H40" s="32"/>
      <c r="I40" s="33"/>
      <c r="J40" s="32"/>
      <c r="K40" s="99">
        <f>K39/0.33*0.15</f>
        <v>0</v>
      </c>
      <c r="L40" s="22"/>
      <c r="M40" s="19" t="s">
        <v>192</v>
      </c>
      <c r="N40" s="147">
        <f>N38*N39</f>
        <v>0</v>
      </c>
      <c r="O40" s="134"/>
      <c r="P40" s="133"/>
      <c r="Q40" s="134"/>
      <c r="R40" s="133"/>
      <c r="S40" s="134"/>
    </row>
    <row r="41" spans="1:19" s="21" customFormat="1" ht="24" thickBot="1" x14ac:dyDescent="0.4">
      <c r="A41" s="141"/>
      <c r="B41" s="325" t="s">
        <v>28</v>
      </c>
      <c r="C41" s="326"/>
      <c r="D41" s="79">
        <f>K42</f>
        <v>0</v>
      </c>
      <c r="E41" s="79" t="e">
        <f t="shared" si="2"/>
        <v>#DIV/0!</v>
      </c>
      <c r="F41" s="79"/>
      <c r="G41" s="32"/>
      <c r="H41" s="32"/>
      <c r="I41" s="33"/>
      <c r="J41" s="32"/>
      <c r="K41" s="101">
        <f>K39/0.33*0.08</f>
        <v>0</v>
      </c>
      <c r="L41" s="22"/>
      <c r="M41" s="19" t="s">
        <v>193</v>
      </c>
      <c r="N41" s="147">
        <f>N40/12</f>
        <v>0</v>
      </c>
      <c r="O41" s="134"/>
      <c r="P41" s="133"/>
      <c r="Q41" s="134"/>
      <c r="R41" s="133"/>
      <c r="S41" s="134"/>
    </row>
    <row r="42" spans="1:19" ht="27" thickBot="1" x14ac:dyDescent="0.45">
      <c r="A42" s="140"/>
      <c r="B42" s="323" t="s">
        <v>29</v>
      </c>
      <c r="C42" s="324"/>
      <c r="D42" s="79">
        <f>D38+D39+D40+D41</f>
        <v>0</v>
      </c>
      <c r="E42" s="79"/>
      <c r="F42" s="80"/>
      <c r="G42" s="30"/>
      <c r="H42" s="30"/>
      <c r="I42" s="31"/>
      <c r="J42" s="30"/>
      <c r="K42" s="97">
        <f>K39/0.33*0.1</f>
        <v>0</v>
      </c>
      <c r="M42" s="19"/>
      <c r="N42" s="145"/>
      <c r="O42" s="134"/>
      <c r="P42" s="133"/>
      <c r="Q42" s="134"/>
      <c r="R42" s="133"/>
      <c r="S42" s="134"/>
    </row>
    <row r="43" spans="1:19" x14ac:dyDescent="0.35">
      <c r="A43" s="140"/>
      <c r="B43" s="323" t="s">
        <v>30</v>
      </c>
      <c r="C43" s="324"/>
      <c r="D43" s="79">
        <v>0</v>
      </c>
      <c r="E43" s="79"/>
      <c r="F43" s="80"/>
      <c r="G43" s="30"/>
      <c r="H43" s="30"/>
      <c r="I43" s="31"/>
      <c r="J43" s="30"/>
      <c r="K43" s="102"/>
      <c r="N43" s="137"/>
    </row>
    <row r="44" spans="1:19" ht="29.25" thickBot="1" x14ac:dyDescent="0.5">
      <c r="A44" s="140">
        <v>2</v>
      </c>
      <c r="B44" s="317" t="s">
        <v>31</v>
      </c>
      <c r="C44" s="318"/>
      <c r="D44" s="75">
        <f>D48+D49</f>
        <v>4093.6665000000003</v>
      </c>
      <c r="E44" s="75">
        <f>E45+E46+E47</f>
        <v>100</v>
      </c>
      <c r="F44" s="75">
        <f>D44/$E$13/1</f>
        <v>1.407</v>
      </c>
      <c r="G44" s="3"/>
      <c r="M44" s="26"/>
    </row>
    <row r="45" spans="1:19" s="21" customFormat="1" ht="24" thickBot="1" x14ac:dyDescent="0.4">
      <c r="A45" s="141"/>
      <c r="B45" s="315" t="s">
        <v>32</v>
      </c>
      <c r="C45" s="316"/>
      <c r="D45" s="76">
        <f>K45-K46-K47</f>
        <v>3356.8065300000003</v>
      </c>
      <c r="E45" s="76">
        <f>D45*100/$D$48</f>
        <v>82</v>
      </c>
      <c r="F45" s="76"/>
      <c r="G45" s="20"/>
      <c r="H45" s="20"/>
      <c r="J45" s="20"/>
      <c r="K45" s="94">
        <f>1.34*$E$13*1.05</f>
        <v>4093.6665000000003</v>
      </c>
      <c r="L45" s="22"/>
      <c r="M45" s="27"/>
      <c r="N45" s="22"/>
      <c r="O45" s="20"/>
      <c r="P45" s="20"/>
    </row>
    <row r="46" spans="1:19" s="21" customFormat="1" ht="27" thickBot="1" x14ac:dyDescent="0.45">
      <c r="A46" s="141"/>
      <c r="B46" s="315" t="s">
        <v>27</v>
      </c>
      <c r="C46" s="316"/>
      <c r="D46" s="76">
        <f>K46</f>
        <v>327.49332000000004</v>
      </c>
      <c r="E46" s="76">
        <f>D46*100/$D$48</f>
        <v>8</v>
      </c>
      <c r="F46" s="76"/>
      <c r="G46" s="20"/>
      <c r="H46" s="20"/>
      <c r="J46" s="20"/>
      <c r="K46" s="94">
        <f>K45*0.08</f>
        <v>327.49332000000004</v>
      </c>
      <c r="L46" s="22"/>
      <c r="M46" s="27"/>
      <c r="N46" s="24"/>
      <c r="O46" s="20"/>
      <c r="P46" s="20"/>
    </row>
    <row r="47" spans="1:19" s="21" customFormat="1" ht="24" thickBot="1" x14ac:dyDescent="0.4">
      <c r="A47" s="141"/>
      <c r="B47" s="315" t="s">
        <v>28</v>
      </c>
      <c r="C47" s="316"/>
      <c r="D47" s="76">
        <f>K47</f>
        <v>409.36665000000005</v>
      </c>
      <c r="E47" s="76">
        <f>D47*100/$D$48</f>
        <v>10.000000000000002</v>
      </c>
      <c r="F47" s="76"/>
      <c r="G47" s="20"/>
      <c r="H47" s="20"/>
      <c r="J47" s="20"/>
      <c r="K47" s="95">
        <f>K45*0.1</f>
        <v>409.36665000000005</v>
      </c>
      <c r="L47" s="22"/>
      <c r="M47" s="27"/>
      <c r="N47" s="27"/>
      <c r="O47" s="20"/>
      <c r="P47" s="20"/>
    </row>
    <row r="48" spans="1:19" s="28" customFormat="1" x14ac:dyDescent="0.35">
      <c r="A48" s="141"/>
      <c r="B48" s="315" t="s">
        <v>29</v>
      </c>
      <c r="C48" s="316"/>
      <c r="D48" s="77">
        <f>D45+D46+D47</f>
        <v>4093.6665000000003</v>
      </c>
      <c r="E48" s="77"/>
      <c r="F48" s="77"/>
      <c r="G48" s="20"/>
      <c r="H48" s="20"/>
      <c r="J48" s="20"/>
      <c r="K48" s="98"/>
      <c r="L48" s="22"/>
      <c r="M48" s="27"/>
      <c r="N48" s="27"/>
      <c r="O48" s="20"/>
      <c r="P48" s="20"/>
    </row>
    <row r="49" spans="1:16" s="28" customFormat="1" ht="24" customHeight="1" x14ac:dyDescent="0.45">
      <c r="A49" s="141"/>
      <c r="B49" s="315" t="s">
        <v>30</v>
      </c>
      <c r="C49" s="316"/>
      <c r="D49" s="77">
        <v>0</v>
      </c>
      <c r="E49" s="77"/>
      <c r="F49" s="77"/>
      <c r="G49" s="20"/>
      <c r="H49" s="20"/>
      <c r="J49" s="20"/>
      <c r="K49" s="93"/>
      <c r="L49" s="22"/>
      <c r="M49" s="29"/>
      <c r="N49" s="22"/>
      <c r="O49" s="20"/>
      <c r="P49" s="20"/>
    </row>
    <row r="50" spans="1:16" ht="30" customHeight="1" x14ac:dyDescent="0.45">
      <c r="A50" s="140">
        <v>3</v>
      </c>
      <c r="B50" s="317" t="s">
        <v>33</v>
      </c>
      <c r="C50" s="318"/>
      <c r="D50" s="78">
        <f>D59+D60</f>
        <v>14613.085791044776</v>
      </c>
      <c r="E50" s="78">
        <f>E51+E52+E53+E54+E55+E56+E57+E58</f>
        <v>100</v>
      </c>
      <c r="F50" s="78">
        <f>D50/$E$13/1</f>
        <v>5.0225419457105263</v>
      </c>
      <c r="G50" s="3"/>
      <c r="M50" s="26"/>
    </row>
    <row r="51" spans="1:16" s="28" customFormat="1" x14ac:dyDescent="0.35">
      <c r="A51" s="141"/>
      <c r="B51" s="315" t="s">
        <v>17</v>
      </c>
      <c r="C51" s="316"/>
      <c r="D51" s="79">
        <v>6780</v>
      </c>
      <c r="E51" s="77">
        <f>D51*100/$D$59</f>
        <v>46.396771338706124</v>
      </c>
      <c r="F51" s="77"/>
      <c r="G51" s="58">
        <v>9030</v>
      </c>
      <c r="H51" s="86">
        <v>2.2000000000000002</v>
      </c>
      <c r="J51" s="20"/>
      <c r="K51" s="93"/>
      <c r="L51" s="22"/>
      <c r="M51" s="22"/>
      <c r="N51" s="22"/>
      <c r="O51" s="20"/>
      <c r="P51" s="20"/>
    </row>
    <row r="52" spans="1:16" s="3" customFormat="1" x14ac:dyDescent="0.35">
      <c r="A52" s="140"/>
      <c r="B52" s="315" t="s">
        <v>18</v>
      </c>
      <c r="C52" s="316"/>
      <c r="D52" s="76">
        <f>D51*8.3%</f>
        <v>562.74</v>
      </c>
      <c r="E52" s="77">
        <f t="shared" ref="E52:E58" si="3">D52*100/$D$59</f>
        <v>3.8509320211126083</v>
      </c>
      <c r="F52" s="76"/>
      <c r="I52" s="1"/>
      <c r="K52" s="92"/>
      <c r="L52" s="18"/>
      <c r="M52" s="18"/>
      <c r="N52" s="18"/>
    </row>
    <row r="53" spans="1:16" s="3" customFormat="1" ht="24" thickBot="1" x14ac:dyDescent="0.4">
      <c r="A53" s="140"/>
      <c r="B53" s="315" t="s">
        <v>165</v>
      </c>
      <c r="C53" s="316"/>
      <c r="D53" s="76">
        <f>(D51+D52)*30.2%</f>
        <v>2217.5074799999998</v>
      </c>
      <c r="E53" s="77">
        <f t="shared" si="3"/>
        <v>15.174806414665255</v>
      </c>
      <c r="F53" s="76"/>
      <c r="I53" s="1"/>
      <c r="K53" s="92"/>
      <c r="L53" s="18"/>
      <c r="M53" s="18"/>
      <c r="N53" s="18"/>
    </row>
    <row r="54" spans="1:16" s="28" customFormat="1" ht="24" thickBot="1" x14ac:dyDescent="0.4">
      <c r="A54" s="141"/>
      <c r="B54" s="315" t="s">
        <v>201</v>
      </c>
      <c r="C54" s="316"/>
      <c r="D54" s="77">
        <f>(D51)*2.04%</f>
        <v>138.31200000000001</v>
      </c>
      <c r="E54" s="77">
        <f t="shared" si="3"/>
        <v>0.94649413530960502</v>
      </c>
      <c r="F54" s="77"/>
      <c r="G54" s="20"/>
      <c r="H54" s="20"/>
      <c r="J54" s="20"/>
      <c r="K54" s="95">
        <f>D51+D52+D53+D54+D55</f>
        <v>9790.7674800000004</v>
      </c>
      <c r="L54" s="22"/>
      <c r="M54" s="22"/>
      <c r="N54" s="22"/>
      <c r="O54" s="20"/>
      <c r="P54" s="20"/>
    </row>
    <row r="55" spans="1:16" s="21" customFormat="1" ht="24" thickBot="1" x14ac:dyDescent="0.4">
      <c r="A55" s="141"/>
      <c r="B55" s="315" t="s">
        <v>206</v>
      </c>
      <c r="C55" s="316"/>
      <c r="D55" s="77">
        <f>(D51)*1.36%</f>
        <v>92.208000000000013</v>
      </c>
      <c r="E55" s="77">
        <f t="shared" si="3"/>
        <v>0.63099609020640335</v>
      </c>
      <c r="F55" s="77"/>
      <c r="G55" s="20"/>
      <c r="H55" s="20"/>
      <c r="J55" s="20"/>
      <c r="K55" s="99">
        <f>K54/0.67*0.33</f>
        <v>4822.3183110447762</v>
      </c>
      <c r="L55" s="22"/>
      <c r="M55" s="22"/>
      <c r="N55" s="22"/>
      <c r="O55" s="20"/>
      <c r="P55" s="20"/>
    </row>
    <row r="56" spans="1:16" s="21" customFormat="1" ht="24" thickBot="1" x14ac:dyDescent="0.4">
      <c r="A56" s="141"/>
      <c r="B56" s="315" t="s">
        <v>26</v>
      </c>
      <c r="C56" s="316"/>
      <c r="D56" s="77">
        <f>K56</f>
        <v>2191.9628686567162</v>
      </c>
      <c r="E56" s="77">
        <f t="shared" si="3"/>
        <v>15</v>
      </c>
      <c r="F56" s="77"/>
      <c r="G56" s="20"/>
      <c r="H56" s="20"/>
      <c r="J56" s="20"/>
      <c r="K56" s="94">
        <f>K55/0.33*0.15</f>
        <v>2191.9628686567162</v>
      </c>
      <c r="L56" s="22"/>
      <c r="M56" s="22"/>
      <c r="N56" s="22"/>
      <c r="O56" s="20"/>
      <c r="P56" s="20"/>
    </row>
    <row r="57" spans="1:16" s="21" customFormat="1" ht="24" thickBot="1" x14ac:dyDescent="0.4">
      <c r="A57" s="141"/>
      <c r="B57" s="315" t="s">
        <v>27</v>
      </c>
      <c r="C57" s="316"/>
      <c r="D57" s="77">
        <f>K57</f>
        <v>1169.0468632835821</v>
      </c>
      <c r="E57" s="77">
        <f t="shared" si="3"/>
        <v>8</v>
      </c>
      <c r="F57" s="77"/>
      <c r="G57" s="20"/>
      <c r="H57" s="20"/>
      <c r="J57" s="20"/>
      <c r="K57" s="97">
        <f>K55/0.33*0.08</f>
        <v>1169.0468632835821</v>
      </c>
      <c r="L57" s="22"/>
      <c r="M57" s="22"/>
      <c r="N57" s="22"/>
      <c r="O57" s="20"/>
      <c r="P57" s="20"/>
    </row>
    <row r="58" spans="1:16" s="21" customFormat="1" ht="24" thickBot="1" x14ac:dyDescent="0.4">
      <c r="A58" s="141"/>
      <c r="B58" s="315" t="s">
        <v>28</v>
      </c>
      <c r="C58" s="316"/>
      <c r="D58" s="77">
        <f>K58</f>
        <v>1461.3085791044778</v>
      </c>
      <c r="E58" s="77">
        <f t="shared" si="3"/>
        <v>10.000000000000002</v>
      </c>
      <c r="F58" s="77"/>
      <c r="G58" s="20"/>
      <c r="H58" s="20"/>
      <c r="J58" s="20"/>
      <c r="K58" s="100">
        <f>K55/0.33*0.1</f>
        <v>1461.3085791044778</v>
      </c>
      <c r="L58" s="22"/>
      <c r="M58" s="22"/>
      <c r="N58" s="22"/>
      <c r="O58" s="20"/>
      <c r="P58" s="20"/>
    </row>
    <row r="59" spans="1:16" s="28" customFormat="1" x14ac:dyDescent="0.35">
      <c r="A59" s="141"/>
      <c r="B59" s="315" t="s">
        <v>29</v>
      </c>
      <c r="C59" s="316"/>
      <c r="D59" s="77">
        <f>D51+D52+D53+D54+D55+D56+D57+D58</f>
        <v>14613.085791044776</v>
      </c>
      <c r="E59" s="77"/>
      <c r="F59" s="77"/>
      <c r="G59" s="20"/>
      <c r="H59" s="20"/>
      <c r="J59" s="20"/>
      <c r="K59" s="98"/>
      <c r="L59" s="22"/>
      <c r="M59" s="22"/>
      <c r="N59" s="22"/>
      <c r="O59" s="20"/>
      <c r="P59" s="20"/>
    </row>
    <row r="60" spans="1:16" s="28" customFormat="1" x14ac:dyDescent="0.35">
      <c r="A60" s="141"/>
      <c r="B60" s="315" t="s">
        <v>30</v>
      </c>
      <c r="C60" s="316"/>
      <c r="D60" s="77">
        <v>0</v>
      </c>
      <c r="E60" s="77"/>
      <c r="F60" s="77"/>
      <c r="G60" s="20"/>
      <c r="H60" s="20"/>
      <c r="J60" s="20"/>
      <c r="K60" s="93"/>
      <c r="L60" s="22"/>
      <c r="M60" s="22"/>
      <c r="N60" s="22"/>
      <c r="O60" s="20"/>
      <c r="P60" s="20"/>
    </row>
    <row r="61" spans="1:16" ht="46.5" customHeight="1" x14ac:dyDescent="0.35">
      <c r="A61" s="140">
        <v>4</v>
      </c>
      <c r="B61" s="317" t="s">
        <v>34</v>
      </c>
      <c r="C61" s="318"/>
      <c r="D61" s="78">
        <f>D71+D72</f>
        <v>20373.647731343284</v>
      </c>
      <c r="E61" s="78">
        <f>E62+E63+E64+E65+E66+E67+E68+E69+E70</f>
        <v>100</v>
      </c>
      <c r="F61" s="78">
        <f>D61/$E$13/1</f>
        <v>7.0024566871776193</v>
      </c>
      <c r="G61" s="3"/>
    </row>
    <row r="62" spans="1:16" s="28" customFormat="1" x14ac:dyDescent="0.35">
      <c r="A62" s="141"/>
      <c r="B62" s="315" t="s">
        <v>17</v>
      </c>
      <c r="C62" s="316"/>
      <c r="D62" s="79">
        <v>9030</v>
      </c>
      <c r="E62" s="77">
        <f t="shared" ref="E62:E70" si="4">D62*100/$D$71</f>
        <v>44.32196000968468</v>
      </c>
      <c r="F62" s="77"/>
      <c r="G62" s="58">
        <v>9030</v>
      </c>
      <c r="H62" s="86">
        <v>1.9</v>
      </c>
      <c r="J62" s="20"/>
      <c r="L62" s="22"/>
      <c r="M62" s="22"/>
      <c r="N62" s="22"/>
      <c r="O62" s="20"/>
      <c r="P62" s="20"/>
    </row>
    <row r="63" spans="1:16" s="3" customFormat="1" x14ac:dyDescent="0.35">
      <c r="A63" s="140"/>
      <c r="B63" s="315" t="s">
        <v>18</v>
      </c>
      <c r="C63" s="316"/>
      <c r="D63" s="76">
        <f>D62*8.3%</f>
        <v>749.49</v>
      </c>
      <c r="E63" s="77">
        <f t="shared" si="4"/>
        <v>3.678722680803828</v>
      </c>
      <c r="F63" s="76"/>
      <c r="I63" s="1"/>
      <c r="L63" s="18"/>
      <c r="M63" s="18"/>
      <c r="N63" s="18"/>
    </row>
    <row r="64" spans="1:16" s="3" customFormat="1" ht="24" thickBot="1" x14ac:dyDescent="0.4">
      <c r="A64" s="140"/>
      <c r="B64" s="315" t="s">
        <v>165</v>
      </c>
      <c r="C64" s="316"/>
      <c r="D64" s="76">
        <f>(D62+D63)*30.2%</f>
        <v>2953.40598</v>
      </c>
      <c r="E64" s="77">
        <f t="shared" si="4"/>
        <v>14.496206172527529</v>
      </c>
      <c r="F64" s="76"/>
      <c r="I64" s="1"/>
      <c r="L64" s="18"/>
      <c r="M64" s="18"/>
      <c r="N64" s="18"/>
    </row>
    <row r="65" spans="1:19" s="28" customFormat="1" ht="24" thickBot="1" x14ac:dyDescent="0.4">
      <c r="A65" s="141"/>
      <c r="B65" s="315" t="s">
        <v>202</v>
      </c>
      <c r="C65" s="316"/>
      <c r="D65" s="77">
        <f>(D62)*4.85%</f>
        <v>437.95499999999993</v>
      </c>
      <c r="E65" s="77">
        <f t="shared" si="4"/>
        <v>2.1496150604697064</v>
      </c>
      <c r="F65" s="77"/>
      <c r="G65" s="20"/>
      <c r="H65" s="20"/>
      <c r="J65" s="20"/>
      <c r="K65" s="94">
        <f>D62+D63+D64+D65+D66+D67</f>
        <v>13650.34398</v>
      </c>
      <c r="L65" s="22"/>
      <c r="O65" s="20"/>
      <c r="P65" s="20"/>
    </row>
    <row r="66" spans="1:19" s="28" customFormat="1" ht="24" thickBot="1" x14ac:dyDescent="0.4">
      <c r="A66" s="141"/>
      <c r="B66" s="327" t="s">
        <v>166</v>
      </c>
      <c r="C66" s="328"/>
      <c r="D66" s="77">
        <f>(D62)*0.03</f>
        <v>270.89999999999998</v>
      </c>
      <c r="E66" s="77">
        <f t="shared" si="4"/>
        <v>1.3296588002905401</v>
      </c>
      <c r="F66" s="77"/>
      <c r="G66" s="20"/>
      <c r="H66" s="20"/>
      <c r="J66" s="20"/>
      <c r="K66" s="94">
        <f>K65/0.67*0.33</f>
        <v>6723.3037513432828</v>
      </c>
      <c r="L66" s="22"/>
      <c r="O66" s="20"/>
      <c r="P66" s="20"/>
    </row>
    <row r="67" spans="1:19" s="21" customFormat="1" ht="24" thickBot="1" x14ac:dyDescent="0.4">
      <c r="A67" s="141"/>
      <c r="B67" s="315" t="s">
        <v>205</v>
      </c>
      <c r="C67" s="316"/>
      <c r="D67" s="77">
        <f>(D62)*2.31%</f>
        <v>208.59299999999999</v>
      </c>
      <c r="E67" s="77">
        <f t="shared" si="4"/>
        <v>1.023837276223716</v>
      </c>
      <c r="F67" s="77"/>
      <c r="G67" s="20"/>
      <c r="H67" s="20"/>
      <c r="J67" s="20"/>
      <c r="K67" s="95">
        <f>K66/0.33*0.15</f>
        <v>3056.0471597014921</v>
      </c>
      <c r="L67" s="22"/>
      <c r="M67" s="19"/>
      <c r="N67" s="156"/>
      <c r="O67" s="20"/>
      <c r="P67" s="20"/>
    </row>
    <row r="68" spans="1:19" s="21" customFormat="1" ht="27" thickBot="1" x14ac:dyDescent="0.45">
      <c r="A68" s="141"/>
      <c r="B68" s="315" t="s">
        <v>26</v>
      </c>
      <c r="C68" s="316"/>
      <c r="D68" s="77">
        <f>K67</f>
        <v>3056.0471597014921</v>
      </c>
      <c r="E68" s="77">
        <f t="shared" si="4"/>
        <v>14.999999999999996</v>
      </c>
      <c r="F68" s="77"/>
      <c r="G68" s="20"/>
      <c r="H68" s="20"/>
      <c r="J68" s="20"/>
      <c r="K68" s="97">
        <f>K66/0.33*0.08</f>
        <v>1629.8918185074624</v>
      </c>
      <c r="L68" s="22"/>
      <c r="M68" s="19"/>
      <c r="N68" s="145"/>
      <c r="O68" s="20"/>
      <c r="P68" s="20"/>
    </row>
    <row r="69" spans="1:19" s="21" customFormat="1" ht="27" thickBot="1" x14ac:dyDescent="0.45">
      <c r="A69" s="141"/>
      <c r="B69" s="315" t="s">
        <v>27</v>
      </c>
      <c r="C69" s="316"/>
      <c r="D69" s="77">
        <f>K68</f>
        <v>1629.8918185074624</v>
      </c>
      <c r="E69" s="77">
        <f t="shared" si="4"/>
        <v>7.9999999999999982</v>
      </c>
      <c r="F69" s="77"/>
      <c r="G69" s="20"/>
      <c r="H69" s="20"/>
      <c r="J69" s="20"/>
      <c r="K69" s="100">
        <f>K66/0.33*0.1</f>
        <v>2037.3647731343281</v>
      </c>
      <c r="L69" s="22"/>
      <c r="M69" s="19"/>
      <c r="N69" s="145"/>
      <c r="O69" s="20"/>
      <c r="P69" s="20"/>
    </row>
    <row r="70" spans="1:19" s="21" customFormat="1" x14ac:dyDescent="0.35">
      <c r="A70" s="141"/>
      <c r="B70" s="315" t="s">
        <v>28</v>
      </c>
      <c r="C70" s="316"/>
      <c r="D70" s="77">
        <f>K69</f>
        <v>2037.3647731343281</v>
      </c>
      <c r="E70" s="77">
        <f t="shared" si="4"/>
        <v>9.9999999999999982</v>
      </c>
      <c r="F70" s="77"/>
      <c r="G70" s="20"/>
      <c r="H70" s="20"/>
      <c r="J70" s="20"/>
      <c r="L70" s="22"/>
      <c r="M70" s="22"/>
      <c r="N70" s="22"/>
      <c r="O70" s="20"/>
      <c r="P70" s="20"/>
    </row>
    <row r="71" spans="1:19" s="28" customFormat="1" x14ac:dyDescent="0.35">
      <c r="A71" s="141"/>
      <c r="B71" s="315" t="s">
        <v>29</v>
      </c>
      <c r="C71" s="316"/>
      <c r="D71" s="77">
        <f>D62+D63+D64+D65+D66+D67+D68+D69+D70</f>
        <v>20373.647731343284</v>
      </c>
      <c r="E71" s="77"/>
      <c r="F71" s="77"/>
      <c r="G71" s="20"/>
      <c r="H71" s="20"/>
      <c r="J71" s="20"/>
      <c r="K71" s="93"/>
      <c r="L71" s="22"/>
      <c r="M71" s="22"/>
      <c r="N71" s="22"/>
      <c r="O71" s="20"/>
      <c r="P71" s="20"/>
    </row>
    <row r="72" spans="1:19" s="28" customFormat="1" ht="24" thickBot="1" x14ac:dyDescent="0.4">
      <c r="A72" s="141"/>
      <c r="B72" s="315" t="s">
        <v>30</v>
      </c>
      <c r="C72" s="316"/>
      <c r="D72" s="77">
        <v>0</v>
      </c>
      <c r="E72" s="77"/>
      <c r="F72" s="77"/>
      <c r="G72" s="20"/>
      <c r="H72" s="20"/>
      <c r="J72" s="20"/>
      <c r="K72" s="93"/>
      <c r="L72" s="22"/>
      <c r="M72" s="22"/>
      <c r="N72" s="22"/>
      <c r="O72" s="20"/>
      <c r="P72" s="20"/>
    </row>
    <row r="73" spans="1:19" ht="24" thickBot="1" x14ac:dyDescent="0.4">
      <c r="A73" s="140" t="s">
        <v>80</v>
      </c>
      <c r="B73" s="317" t="s">
        <v>194</v>
      </c>
      <c r="C73" s="318"/>
      <c r="D73" s="78">
        <f>D81+D82</f>
        <v>1417.9104477611938</v>
      </c>
      <c r="E73" s="78">
        <f>E74+E75+E76+E77+E78+E80</f>
        <v>92</v>
      </c>
      <c r="F73" s="78">
        <f>D73/$E$13/1</f>
        <v>0.48733818448571709</v>
      </c>
      <c r="G73" s="129"/>
      <c r="H73" s="130"/>
      <c r="M73" s="137"/>
      <c r="N73" s="150" t="s">
        <v>195</v>
      </c>
      <c r="O73" s="150" t="s">
        <v>196</v>
      </c>
      <c r="P73" s="150" t="s">
        <v>197</v>
      </c>
      <c r="Q73" s="150" t="s">
        <v>198</v>
      </c>
      <c r="R73" s="135"/>
      <c r="S73" s="135"/>
    </row>
    <row r="74" spans="1:19" ht="24" thickBot="1" x14ac:dyDescent="0.4">
      <c r="A74" s="140"/>
      <c r="B74" s="327" t="s">
        <v>167</v>
      </c>
      <c r="C74" s="328"/>
      <c r="D74" s="79">
        <v>200</v>
      </c>
      <c r="E74" s="79">
        <f>D74*100/$D$81</f>
        <v>14.105263157894738</v>
      </c>
      <c r="F74" s="80"/>
      <c r="G74" s="131"/>
      <c r="H74" s="132"/>
      <c r="I74" s="31"/>
      <c r="J74" s="30"/>
      <c r="K74" s="94">
        <f>D74+D75+D76+D77</f>
        <v>950</v>
      </c>
      <c r="M74" s="149" t="s">
        <v>167</v>
      </c>
      <c r="N74" s="119">
        <v>1</v>
      </c>
      <c r="O74" s="119">
        <v>4500</v>
      </c>
      <c r="P74" s="62">
        <f>N74*O74</f>
        <v>4500</v>
      </c>
      <c r="Q74" s="62">
        <f>P74/12</f>
        <v>375</v>
      </c>
      <c r="R74" s="136"/>
      <c r="S74" s="136"/>
    </row>
    <row r="75" spans="1:19" ht="24" thickBot="1" x14ac:dyDescent="0.4">
      <c r="A75" s="140"/>
      <c r="B75" s="327" t="s">
        <v>168</v>
      </c>
      <c r="C75" s="328"/>
      <c r="D75" s="79">
        <f t="shared" ref="D75:D77" si="5">Q75</f>
        <v>750</v>
      </c>
      <c r="E75" s="79">
        <f t="shared" ref="E75:E80" si="6">D75*100/$D$81</f>
        <v>52.894736842105267</v>
      </c>
      <c r="F75" s="80"/>
      <c r="G75" s="148"/>
      <c r="H75" s="132"/>
      <c r="I75" s="31"/>
      <c r="J75" s="30"/>
      <c r="K75" s="95">
        <f>K74/0.67*0.33</f>
        <v>467.91044776119401</v>
      </c>
      <c r="M75" s="149" t="s">
        <v>168</v>
      </c>
      <c r="N75" s="119">
        <v>2</v>
      </c>
      <c r="O75" s="119">
        <v>4500</v>
      </c>
      <c r="P75" s="62">
        <f t="shared" ref="P75:P77" si="7">N75*O75</f>
        <v>9000</v>
      </c>
      <c r="Q75" s="62">
        <f t="shared" ref="Q75:Q77" si="8">P75/12</f>
        <v>750</v>
      </c>
      <c r="R75" s="136"/>
      <c r="S75" s="136"/>
    </row>
    <row r="76" spans="1:19" ht="24" thickBot="1" x14ac:dyDescent="0.4">
      <c r="A76" s="140"/>
      <c r="B76" s="327" t="s">
        <v>169</v>
      </c>
      <c r="C76" s="328"/>
      <c r="D76" s="79">
        <f t="shared" si="5"/>
        <v>0</v>
      </c>
      <c r="E76" s="79">
        <f t="shared" si="6"/>
        <v>0</v>
      </c>
      <c r="F76" s="80"/>
      <c r="G76" s="148"/>
      <c r="H76" s="132"/>
      <c r="I76" s="31"/>
      <c r="J76" s="30"/>
      <c r="K76" s="99">
        <f>K75/0.33*0.15</f>
        <v>212.68656716417908</v>
      </c>
      <c r="M76" s="149" t="s">
        <v>169</v>
      </c>
      <c r="N76" s="119">
        <v>0</v>
      </c>
      <c r="O76" s="119">
        <v>4500</v>
      </c>
      <c r="P76" s="62">
        <f t="shared" si="7"/>
        <v>0</v>
      </c>
      <c r="Q76" s="62">
        <f t="shared" si="8"/>
        <v>0</v>
      </c>
      <c r="R76" s="136"/>
      <c r="S76" s="136"/>
    </row>
    <row r="77" spans="1:19" ht="24" thickBot="1" x14ac:dyDescent="0.4">
      <c r="A77" s="140"/>
      <c r="B77" s="327" t="s">
        <v>170</v>
      </c>
      <c r="C77" s="328"/>
      <c r="D77" s="79">
        <f t="shared" si="5"/>
        <v>0</v>
      </c>
      <c r="E77" s="79">
        <f t="shared" si="6"/>
        <v>0</v>
      </c>
      <c r="F77" s="80"/>
      <c r="G77" s="148"/>
      <c r="H77" s="132"/>
      <c r="I77" s="31"/>
      <c r="J77" s="30"/>
      <c r="K77" s="101">
        <f>K75/0.33*0.08</f>
        <v>113.43283582089551</v>
      </c>
      <c r="M77" s="149" t="s">
        <v>170</v>
      </c>
      <c r="N77" s="119">
        <v>0</v>
      </c>
      <c r="O77" s="119">
        <v>4500</v>
      </c>
      <c r="P77" s="62">
        <f t="shared" si="7"/>
        <v>0</v>
      </c>
      <c r="Q77" s="62">
        <f t="shared" si="8"/>
        <v>0</v>
      </c>
      <c r="R77" s="136"/>
      <c r="S77" s="136"/>
    </row>
    <row r="78" spans="1:19" s="21" customFormat="1" ht="24" thickBot="1" x14ac:dyDescent="0.4">
      <c r="A78" s="141"/>
      <c r="B78" s="325" t="s">
        <v>26</v>
      </c>
      <c r="C78" s="326"/>
      <c r="D78" s="79">
        <f>K76</f>
        <v>212.68656716417908</v>
      </c>
      <c r="E78" s="79">
        <f t="shared" si="6"/>
        <v>15</v>
      </c>
      <c r="F78" s="79"/>
      <c r="G78" s="32"/>
      <c r="H78" s="32"/>
      <c r="I78" s="33"/>
      <c r="J78" s="32"/>
      <c r="K78" s="97">
        <f>K75/0.33*0.1</f>
        <v>141.79104477611938</v>
      </c>
      <c r="L78" s="22"/>
      <c r="M78" s="151"/>
      <c r="N78" s="152"/>
      <c r="O78" s="152"/>
      <c r="P78" s="152"/>
      <c r="Q78" s="152"/>
      <c r="R78" s="133"/>
      <c r="S78" s="134"/>
    </row>
    <row r="79" spans="1:19" s="21" customFormat="1" x14ac:dyDescent="0.35">
      <c r="A79" s="141"/>
      <c r="B79" s="325" t="s">
        <v>27</v>
      </c>
      <c r="C79" s="326"/>
      <c r="D79" s="79">
        <f>K77</f>
        <v>113.43283582089551</v>
      </c>
      <c r="E79" s="79">
        <f t="shared" si="6"/>
        <v>8</v>
      </c>
      <c r="F79" s="79"/>
      <c r="G79" s="32"/>
      <c r="H79" s="32"/>
      <c r="I79" s="33"/>
      <c r="J79" s="32"/>
      <c r="L79" s="22"/>
      <c r="M79" s="153"/>
      <c r="N79" s="154"/>
      <c r="O79" s="154"/>
      <c r="P79" s="154"/>
      <c r="Q79" s="154"/>
      <c r="R79" s="133"/>
      <c r="S79" s="134"/>
    </row>
    <row r="80" spans="1:19" s="21" customFormat="1" x14ac:dyDescent="0.35">
      <c r="A80" s="141"/>
      <c r="B80" s="315" t="s">
        <v>28</v>
      </c>
      <c r="C80" s="316"/>
      <c r="D80" s="79">
        <f>K78</f>
        <v>141.79104477611938</v>
      </c>
      <c r="E80" s="79">
        <f t="shared" si="6"/>
        <v>10</v>
      </c>
      <c r="F80" s="79"/>
      <c r="G80" s="32"/>
      <c r="H80" s="32"/>
      <c r="I80" s="33"/>
      <c r="J80" s="32"/>
      <c r="L80" s="22"/>
      <c r="M80" s="153"/>
      <c r="N80" s="154"/>
      <c r="O80" s="154"/>
      <c r="P80" s="154"/>
      <c r="Q80" s="154"/>
      <c r="R80" s="133"/>
      <c r="S80" s="134"/>
    </row>
    <row r="81" spans="1:19" ht="26.25" x14ac:dyDescent="0.4">
      <c r="A81" s="140"/>
      <c r="B81" s="315" t="s">
        <v>29</v>
      </c>
      <c r="C81" s="316"/>
      <c r="D81" s="79">
        <f>D74+D75+D76+D77+D78+D79+D80</f>
        <v>1417.9104477611938</v>
      </c>
      <c r="E81" s="79"/>
      <c r="F81" s="80"/>
      <c r="G81" s="30"/>
      <c r="H81" s="30"/>
      <c r="I81" s="31"/>
      <c r="J81" s="30"/>
      <c r="M81" s="19"/>
      <c r="N81" s="145"/>
      <c r="O81" s="134"/>
      <c r="P81" s="133"/>
      <c r="Q81" s="134"/>
      <c r="R81" s="133"/>
      <c r="S81" s="134"/>
    </row>
    <row r="82" spans="1:19" x14ac:dyDescent="0.35">
      <c r="A82" s="140"/>
      <c r="B82" s="315" t="s">
        <v>30</v>
      </c>
      <c r="C82" s="316"/>
      <c r="D82" s="79">
        <v>0</v>
      </c>
      <c r="E82" s="79"/>
      <c r="F82" s="80"/>
      <c r="G82" s="30"/>
      <c r="H82" s="30"/>
      <c r="I82" s="31"/>
      <c r="J82" s="30"/>
      <c r="K82" s="102"/>
      <c r="N82" s="137"/>
    </row>
    <row r="83" spans="1:19" ht="24" thickBot="1" x14ac:dyDescent="0.4">
      <c r="A83" s="140" t="s">
        <v>92</v>
      </c>
      <c r="B83" s="317" t="s">
        <v>35</v>
      </c>
      <c r="C83" s="318"/>
      <c r="D83" s="78">
        <f>D88+D89</f>
        <v>0</v>
      </c>
      <c r="E83" s="78" t="e">
        <f>E84+E85+E87</f>
        <v>#DIV/0!</v>
      </c>
      <c r="F83" s="78">
        <f>D83/$E$13/1</f>
        <v>0</v>
      </c>
      <c r="G83" s="129"/>
      <c r="H83" s="130"/>
      <c r="M83" s="137"/>
      <c r="N83" s="135"/>
      <c r="O83" s="135"/>
      <c r="P83" s="135"/>
      <c r="Q83" s="135"/>
      <c r="R83" s="135"/>
      <c r="S83" s="135"/>
    </row>
    <row r="84" spans="1:19" ht="24" thickBot="1" x14ac:dyDescent="0.4">
      <c r="A84" s="140"/>
      <c r="B84" s="323" t="s">
        <v>37</v>
      </c>
      <c r="C84" s="324"/>
      <c r="D84" s="79">
        <v>0</v>
      </c>
      <c r="E84" s="79" t="e">
        <f>D84*100/$D$88</f>
        <v>#DIV/0!</v>
      </c>
      <c r="F84" s="80"/>
      <c r="G84" s="131"/>
      <c r="H84" s="132"/>
      <c r="I84" s="31"/>
      <c r="J84" s="30"/>
      <c r="K84" s="94">
        <f>D84</f>
        <v>0</v>
      </c>
      <c r="M84" s="19" t="s">
        <v>192</v>
      </c>
      <c r="N84" s="114">
        <v>70000</v>
      </c>
      <c r="O84" s="136"/>
      <c r="P84" s="136"/>
      <c r="Q84" s="136"/>
      <c r="R84" s="136"/>
      <c r="S84" s="136"/>
    </row>
    <row r="85" spans="1:19" s="21" customFormat="1" ht="24" thickBot="1" x14ac:dyDescent="0.4">
      <c r="A85" s="141"/>
      <c r="B85" s="325" t="s">
        <v>26</v>
      </c>
      <c r="C85" s="326"/>
      <c r="D85" s="79">
        <f>K86</f>
        <v>0</v>
      </c>
      <c r="E85" s="79" t="e">
        <f t="shared" ref="E85:E87" si="9">D85*100/$D$88</f>
        <v>#DIV/0!</v>
      </c>
      <c r="F85" s="79"/>
      <c r="G85" s="32"/>
      <c r="H85" s="32"/>
      <c r="I85" s="33"/>
      <c r="J85" s="32"/>
      <c r="K85" s="95">
        <f>K84/0.67*0.33</f>
        <v>0</v>
      </c>
      <c r="L85" s="22"/>
      <c r="M85" s="23" t="s">
        <v>193</v>
      </c>
      <c r="N85" s="155">
        <f>N84/12</f>
        <v>5833.333333333333</v>
      </c>
      <c r="O85" s="134"/>
      <c r="P85" s="133"/>
      <c r="Q85" s="134"/>
      <c r="R85" s="133"/>
      <c r="S85" s="134"/>
    </row>
    <row r="86" spans="1:19" s="21" customFormat="1" ht="24" thickBot="1" x14ac:dyDescent="0.4">
      <c r="A86" s="141"/>
      <c r="B86" s="325" t="s">
        <v>27</v>
      </c>
      <c r="C86" s="326"/>
      <c r="D86" s="79">
        <f>K87</f>
        <v>0</v>
      </c>
      <c r="E86" s="79" t="e">
        <f t="shared" si="9"/>
        <v>#DIV/0!</v>
      </c>
      <c r="F86" s="79"/>
      <c r="G86" s="32"/>
      <c r="H86" s="32"/>
      <c r="I86" s="33"/>
      <c r="J86" s="32"/>
      <c r="K86" s="99">
        <f>K85/0.33*0.15</f>
        <v>0</v>
      </c>
      <c r="L86" s="22"/>
      <c r="M86" s="153"/>
      <c r="N86" s="146"/>
      <c r="O86" s="134"/>
      <c r="P86" s="133"/>
      <c r="Q86" s="134"/>
      <c r="R86" s="133"/>
      <c r="S86" s="134"/>
    </row>
    <row r="87" spans="1:19" s="21" customFormat="1" ht="24" thickBot="1" x14ac:dyDescent="0.4">
      <c r="A87" s="141"/>
      <c r="B87" s="315" t="s">
        <v>28</v>
      </c>
      <c r="C87" s="316"/>
      <c r="D87" s="79">
        <f>K88</f>
        <v>0</v>
      </c>
      <c r="E87" s="79" t="e">
        <f t="shared" si="9"/>
        <v>#DIV/0!</v>
      </c>
      <c r="F87" s="79"/>
      <c r="G87" s="32"/>
      <c r="H87" s="32"/>
      <c r="I87" s="33"/>
      <c r="J87" s="32"/>
      <c r="K87" s="101">
        <f>K85/0.33*0.08</f>
        <v>0</v>
      </c>
      <c r="L87" s="22"/>
      <c r="M87" s="153"/>
      <c r="N87" s="144"/>
      <c r="O87" s="134"/>
      <c r="P87" s="133"/>
      <c r="Q87" s="134"/>
      <c r="R87" s="133"/>
      <c r="S87" s="134"/>
    </row>
    <row r="88" spans="1:19" ht="27" thickBot="1" x14ac:dyDescent="0.45">
      <c r="A88" s="140"/>
      <c r="B88" s="315" t="s">
        <v>29</v>
      </c>
      <c r="C88" s="316"/>
      <c r="D88" s="79">
        <f>D84+D85+D86+D87</f>
        <v>0</v>
      </c>
      <c r="E88" s="79"/>
      <c r="F88" s="80"/>
      <c r="G88" s="30"/>
      <c r="H88" s="30"/>
      <c r="I88" s="31"/>
      <c r="J88" s="30"/>
      <c r="K88" s="97">
        <f>K85/0.33*0.1</f>
        <v>0</v>
      </c>
      <c r="M88" s="153"/>
      <c r="N88" s="145"/>
      <c r="O88" s="134"/>
      <c r="P88" s="133"/>
      <c r="Q88" s="134"/>
      <c r="R88" s="133"/>
      <c r="S88" s="134"/>
    </row>
    <row r="89" spans="1:19" x14ac:dyDescent="0.35">
      <c r="A89" s="140"/>
      <c r="B89" s="315" t="s">
        <v>30</v>
      </c>
      <c r="C89" s="316"/>
      <c r="D89" s="79">
        <v>0</v>
      </c>
      <c r="E89" s="79"/>
      <c r="F89" s="80"/>
      <c r="G89" s="30"/>
      <c r="H89" s="30"/>
      <c r="I89" s="31"/>
      <c r="J89" s="30"/>
      <c r="K89" s="102"/>
    </row>
    <row r="90" spans="1:19" ht="24" thickBot="1" x14ac:dyDescent="0.4">
      <c r="A90" s="140" t="s">
        <v>199</v>
      </c>
      <c r="B90" s="317" t="s">
        <v>139</v>
      </c>
      <c r="C90" s="318"/>
      <c r="D90" s="78">
        <f>D95+D96</f>
        <v>0</v>
      </c>
      <c r="E90" s="78" t="e">
        <f>E91+E92+E94</f>
        <v>#DIV/0!</v>
      </c>
      <c r="F90" s="78">
        <f>D90/$E$13/1</f>
        <v>0</v>
      </c>
      <c r="G90" s="129"/>
      <c r="H90" s="130"/>
      <c r="M90" s="137"/>
      <c r="N90" s="135"/>
      <c r="O90" s="135"/>
      <c r="P90" s="135"/>
      <c r="Q90" s="135"/>
      <c r="R90" s="135"/>
      <c r="S90" s="135"/>
    </row>
    <row r="91" spans="1:19" ht="24" thickBot="1" x14ac:dyDescent="0.4">
      <c r="A91" s="140"/>
      <c r="B91" s="323" t="s">
        <v>37</v>
      </c>
      <c r="C91" s="324"/>
      <c r="D91" s="79">
        <v>0</v>
      </c>
      <c r="E91" s="79" t="e">
        <f>D91*100/$D$95</f>
        <v>#DIV/0!</v>
      </c>
      <c r="F91" s="80"/>
      <c r="G91" s="131"/>
      <c r="H91" s="132"/>
      <c r="I91" s="31"/>
      <c r="J91" s="30"/>
      <c r="K91" s="94">
        <f>D91</f>
        <v>0</v>
      </c>
      <c r="M91" s="19" t="s">
        <v>140</v>
      </c>
      <c r="N91" s="63">
        <v>900</v>
      </c>
      <c r="O91" s="136"/>
      <c r="P91" s="136"/>
      <c r="Q91" s="136"/>
      <c r="R91" s="136"/>
      <c r="S91" s="136"/>
    </row>
    <row r="92" spans="1:19" s="21" customFormat="1" ht="24" thickBot="1" x14ac:dyDescent="0.4">
      <c r="A92" s="141"/>
      <c r="B92" s="325" t="s">
        <v>26</v>
      </c>
      <c r="C92" s="326"/>
      <c r="D92" s="79">
        <f>K93</f>
        <v>0</v>
      </c>
      <c r="E92" s="79" t="e">
        <f t="shared" ref="E92:E94" si="10">D92*100/$D$95</f>
        <v>#DIV/0!</v>
      </c>
      <c r="F92" s="79"/>
      <c r="G92" s="32"/>
      <c r="H92" s="32"/>
      <c r="I92" s="33"/>
      <c r="J92" s="32"/>
      <c r="K92" s="95">
        <f>K91/0.67*0.33</f>
        <v>0</v>
      </c>
      <c r="L92" s="22"/>
      <c r="M92" s="23" t="s">
        <v>141</v>
      </c>
      <c r="N92" s="115">
        <v>15</v>
      </c>
      <c r="O92" s="134"/>
      <c r="P92" s="133"/>
      <c r="Q92" s="134"/>
      <c r="R92" s="133"/>
      <c r="S92" s="134"/>
    </row>
    <row r="93" spans="1:19" s="21" customFormat="1" ht="24" thickBot="1" x14ac:dyDescent="0.4">
      <c r="A93" s="141"/>
      <c r="B93" s="325" t="s">
        <v>27</v>
      </c>
      <c r="C93" s="326"/>
      <c r="D93" s="79">
        <f>K94</f>
        <v>0</v>
      </c>
      <c r="E93" s="79" t="e">
        <f t="shared" si="10"/>
        <v>#DIV/0!</v>
      </c>
      <c r="F93" s="79"/>
      <c r="G93" s="32"/>
      <c r="H93" s="32"/>
      <c r="I93" s="33"/>
      <c r="J93" s="32"/>
      <c r="K93" s="99">
        <f>K92/0.33*0.15</f>
        <v>0</v>
      </c>
      <c r="L93" s="22"/>
      <c r="M93" s="19" t="s">
        <v>142</v>
      </c>
      <c r="N93" s="117">
        <v>5</v>
      </c>
      <c r="O93" s="134"/>
      <c r="P93" s="133"/>
      <c r="Q93" s="134"/>
      <c r="R93" s="133"/>
      <c r="S93" s="134"/>
    </row>
    <row r="94" spans="1:19" s="21" customFormat="1" ht="27" thickBot="1" x14ac:dyDescent="0.45">
      <c r="A94" s="141"/>
      <c r="B94" s="315" t="s">
        <v>28</v>
      </c>
      <c r="C94" s="316"/>
      <c r="D94" s="79">
        <f>K95</f>
        <v>0</v>
      </c>
      <c r="E94" s="79" t="e">
        <f t="shared" si="10"/>
        <v>#DIV/0!</v>
      </c>
      <c r="F94" s="79"/>
      <c r="G94" s="32"/>
      <c r="H94" s="32"/>
      <c r="I94" s="33"/>
      <c r="J94" s="32"/>
      <c r="K94" s="101">
        <f>K92/0.33*0.08</f>
        <v>0</v>
      </c>
      <c r="L94" s="22"/>
      <c r="M94" s="19" t="s">
        <v>143</v>
      </c>
      <c r="N94" s="65">
        <f>N91*N92*N93</f>
        <v>67500</v>
      </c>
      <c r="O94" s="134"/>
      <c r="P94" s="133"/>
      <c r="Q94" s="134"/>
      <c r="R94" s="133"/>
      <c r="S94" s="134"/>
    </row>
    <row r="95" spans="1:19" ht="27" thickBot="1" x14ac:dyDescent="0.45">
      <c r="A95" s="140"/>
      <c r="B95" s="315" t="s">
        <v>29</v>
      </c>
      <c r="C95" s="316"/>
      <c r="D95" s="79">
        <f>D91+D92+D93+D94</f>
        <v>0</v>
      </c>
      <c r="E95" s="79"/>
      <c r="F95" s="80"/>
      <c r="G95" s="30"/>
      <c r="H95" s="30"/>
      <c r="I95" s="31"/>
      <c r="J95" s="30"/>
      <c r="K95" s="97">
        <f>K92/0.33*0.1</f>
        <v>0</v>
      </c>
      <c r="M95" s="19" t="s">
        <v>144</v>
      </c>
      <c r="N95" s="65">
        <f>N94/12</f>
        <v>5625</v>
      </c>
      <c r="O95" s="134"/>
      <c r="P95" s="133"/>
      <c r="Q95" s="134"/>
      <c r="R95" s="133"/>
      <c r="S95" s="134"/>
    </row>
    <row r="96" spans="1:19" ht="24" thickBot="1" x14ac:dyDescent="0.4">
      <c r="A96" s="140"/>
      <c r="B96" s="315" t="s">
        <v>30</v>
      </c>
      <c r="C96" s="316"/>
      <c r="D96" s="79">
        <v>0</v>
      </c>
      <c r="E96" s="79"/>
      <c r="F96" s="80"/>
      <c r="G96" s="30"/>
      <c r="H96" s="30"/>
      <c r="I96" s="31"/>
      <c r="J96" s="30"/>
      <c r="K96" s="102"/>
      <c r="M96" s="1"/>
      <c r="N96" s="1"/>
    </row>
    <row r="97" spans="1:19" ht="24" thickBot="1" x14ac:dyDescent="0.4">
      <c r="A97" s="140">
        <v>5</v>
      </c>
      <c r="B97" s="317" t="s">
        <v>171</v>
      </c>
      <c r="C97" s="318"/>
      <c r="D97" s="78">
        <f>D102+D103</f>
        <v>447.7611940298508</v>
      </c>
      <c r="E97" s="78">
        <f>E98+E99+E101</f>
        <v>91.999999999999986</v>
      </c>
      <c r="F97" s="78">
        <f>D97/$E$13/1</f>
        <v>0.15389626878496332</v>
      </c>
      <c r="G97" s="356" t="s">
        <v>152</v>
      </c>
      <c r="H97" s="357"/>
      <c r="N97" s="350" t="s">
        <v>154</v>
      </c>
      <c r="O97" s="351"/>
      <c r="P97" s="350" t="s">
        <v>157</v>
      </c>
      <c r="Q97" s="351"/>
      <c r="R97" s="350" t="s">
        <v>76</v>
      </c>
      <c r="S97" s="351"/>
    </row>
    <row r="98" spans="1:19" ht="24" thickBot="1" x14ac:dyDescent="0.4">
      <c r="A98" s="140"/>
      <c r="B98" s="323" t="s">
        <v>37</v>
      </c>
      <c r="C98" s="324"/>
      <c r="D98" s="79">
        <v>300</v>
      </c>
      <c r="E98" s="79">
        <f>D98*100/$D$102</f>
        <v>66.999999999999986</v>
      </c>
      <c r="F98" s="80"/>
      <c r="G98" s="358">
        <v>1200</v>
      </c>
      <c r="H98" s="359"/>
      <c r="I98" s="31"/>
      <c r="J98" s="30"/>
      <c r="K98" s="94">
        <f>D98</f>
        <v>300</v>
      </c>
      <c r="M98" s="60"/>
      <c r="N98" s="348" t="s">
        <v>149</v>
      </c>
      <c r="O98" s="349"/>
      <c r="P98" s="348" t="s">
        <v>155</v>
      </c>
      <c r="Q98" s="349"/>
      <c r="R98" s="348" t="s">
        <v>156</v>
      </c>
      <c r="S98" s="349"/>
    </row>
    <row r="99" spans="1:19" s="21" customFormat="1" ht="24" thickBot="1" x14ac:dyDescent="0.4">
      <c r="A99" s="141"/>
      <c r="B99" s="325" t="s">
        <v>26</v>
      </c>
      <c r="C99" s="326"/>
      <c r="D99" s="79">
        <f>K100</f>
        <v>67.164179104477597</v>
      </c>
      <c r="E99" s="79">
        <f>D99*100/$D$102</f>
        <v>14.999999999999995</v>
      </c>
      <c r="F99" s="79"/>
      <c r="G99" s="32"/>
      <c r="H99" s="32"/>
      <c r="I99" s="33"/>
      <c r="J99" s="32"/>
      <c r="K99" s="95">
        <f>K98/0.67*0.33</f>
        <v>147.76119402985074</v>
      </c>
      <c r="L99" s="22"/>
      <c r="M99" s="59" t="s">
        <v>150</v>
      </c>
      <c r="N99" s="61">
        <v>1</v>
      </c>
      <c r="O99" s="62" t="s">
        <v>151</v>
      </c>
      <c r="P99" s="61">
        <v>2</v>
      </c>
      <c r="Q99" s="62" t="s">
        <v>151</v>
      </c>
      <c r="R99" s="61">
        <v>1.5</v>
      </c>
      <c r="S99" s="62" t="s">
        <v>151</v>
      </c>
    </row>
    <row r="100" spans="1:19" s="21" customFormat="1" ht="24" thickBot="1" x14ac:dyDescent="0.4">
      <c r="A100" s="141"/>
      <c r="B100" s="325" t="s">
        <v>27</v>
      </c>
      <c r="C100" s="326"/>
      <c r="D100" s="79">
        <f>K101</f>
        <v>35.820895522388057</v>
      </c>
      <c r="E100" s="79">
        <f>D100*100/$D$102</f>
        <v>7.9999999999999982</v>
      </c>
      <c r="F100" s="79"/>
      <c r="G100" s="32"/>
      <c r="H100" s="32"/>
      <c r="I100" s="33"/>
      <c r="J100" s="32"/>
      <c r="K100" s="99">
        <f>K99/0.33*0.15</f>
        <v>67.164179104477597</v>
      </c>
      <c r="L100" s="22"/>
      <c r="M100" s="59" t="s">
        <v>152</v>
      </c>
      <c r="N100" s="118">
        <v>1400</v>
      </c>
      <c r="O100" s="62" t="s">
        <v>153</v>
      </c>
      <c r="P100" s="61">
        <f>N100</f>
        <v>1400</v>
      </c>
      <c r="Q100" s="62" t="s">
        <v>153</v>
      </c>
      <c r="R100" s="61">
        <f>P100</f>
        <v>1400</v>
      </c>
      <c r="S100" s="62" t="s">
        <v>153</v>
      </c>
    </row>
    <row r="101" spans="1:19" s="21" customFormat="1" ht="24" customHeight="1" thickBot="1" x14ac:dyDescent="0.4">
      <c r="A101" s="141"/>
      <c r="B101" s="315" t="s">
        <v>28</v>
      </c>
      <c r="C101" s="316"/>
      <c r="D101" s="79">
        <f>K102</f>
        <v>44.776119402985074</v>
      </c>
      <c r="E101" s="79">
        <f>D101*100/$D$102</f>
        <v>10</v>
      </c>
      <c r="F101" s="79"/>
      <c r="G101" s="32"/>
      <c r="H101" s="32"/>
      <c r="I101" s="33"/>
      <c r="J101" s="32"/>
      <c r="K101" s="101">
        <f>K99/0.33*0.08</f>
        <v>35.820895522388057</v>
      </c>
      <c r="L101" s="22"/>
      <c r="M101" s="59" t="s">
        <v>143</v>
      </c>
      <c r="N101" s="61">
        <f>N99*N100*12</f>
        <v>16800</v>
      </c>
      <c r="O101" s="62" t="s">
        <v>151</v>
      </c>
      <c r="P101" s="61">
        <f>P99*P100*2</f>
        <v>5600</v>
      </c>
      <c r="Q101" s="62" t="s">
        <v>151</v>
      </c>
      <c r="R101" s="61">
        <f>R99*R100</f>
        <v>2100</v>
      </c>
      <c r="S101" s="62" t="s">
        <v>151</v>
      </c>
    </row>
    <row r="102" spans="1:19" ht="24" thickBot="1" x14ac:dyDescent="0.4">
      <c r="A102" s="140"/>
      <c r="B102" s="315" t="s">
        <v>29</v>
      </c>
      <c r="C102" s="316"/>
      <c r="D102" s="79">
        <f>D98+D99+D100+D101</f>
        <v>447.7611940298508</v>
      </c>
      <c r="E102" s="79"/>
      <c r="F102" s="80"/>
      <c r="G102" s="30"/>
      <c r="H102" s="30"/>
      <c r="I102" s="31"/>
      <c r="J102" s="30"/>
      <c r="K102" s="97">
        <f>K99/0.33*0.1</f>
        <v>44.776119402985074</v>
      </c>
      <c r="M102" s="59" t="s">
        <v>144</v>
      </c>
      <c r="N102" s="61">
        <f>N101/12</f>
        <v>1400</v>
      </c>
      <c r="O102" s="62" t="s">
        <v>151</v>
      </c>
      <c r="P102" s="61">
        <f>P101/12</f>
        <v>466.66666666666669</v>
      </c>
      <c r="Q102" s="62" t="s">
        <v>151</v>
      </c>
      <c r="R102" s="61">
        <f>R101/12</f>
        <v>175</v>
      </c>
      <c r="S102" s="62" t="s">
        <v>151</v>
      </c>
    </row>
    <row r="103" spans="1:19" x14ac:dyDescent="0.35">
      <c r="A103" s="140"/>
      <c r="B103" s="315" t="s">
        <v>30</v>
      </c>
      <c r="C103" s="316"/>
      <c r="D103" s="79">
        <v>0</v>
      </c>
      <c r="E103" s="79"/>
      <c r="F103" s="80"/>
      <c r="G103" s="30"/>
      <c r="H103" s="30"/>
      <c r="I103" s="31"/>
      <c r="J103" s="30"/>
      <c r="K103" s="102"/>
    </row>
    <row r="104" spans="1:19" x14ac:dyDescent="0.35">
      <c r="A104" s="140">
        <v>6</v>
      </c>
      <c r="B104" s="317" t="s">
        <v>38</v>
      </c>
      <c r="C104" s="318"/>
      <c r="D104" s="78">
        <f>D113+D114</f>
        <v>4003.9567164179102</v>
      </c>
      <c r="E104" s="78">
        <f>E105+E106+E107+E108+E109+E110+E111+E112</f>
        <v>100</v>
      </c>
      <c r="F104" s="78">
        <f>D104/$E$13/1</f>
        <v>1.3761665978408353</v>
      </c>
      <c r="G104" s="3"/>
    </row>
    <row r="105" spans="1:19" s="28" customFormat="1" x14ac:dyDescent="0.35">
      <c r="A105" s="141"/>
      <c r="B105" s="315" t="s">
        <v>17</v>
      </c>
      <c r="C105" s="316"/>
      <c r="D105" s="77">
        <v>1000</v>
      </c>
      <c r="E105" s="77">
        <f>D105*100/$D$113</f>
        <v>24.975294960097308</v>
      </c>
      <c r="F105" s="77"/>
      <c r="G105" s="58">
        <v>9030</v>
      </c>
      <c r="H105" s="86">
        <v>1</v>
      </c>
      <c r="J105" s="20"/>
      <c r="K105" s="93"/>
      <c r="L105" s="22"/>
      <c r="M105" s="22"/>
      <c r="N105" s="22"/>
      <c r="O105" s="20"/>
      <c r="P105" s="20"/>
    </row>
    <row r="106" spans="1:19" s="3" customFormat="1" x14ac:dyDescent="0.35">
      <c r="A106" s="140"/>
      <c r="B106" s="315" t="s">
        <v>18</v>
      </c>
      <c r="C106" s="316"/>
      <c r="D106" s="76">
        <f>D105*8.3%</f>
        <v>83</v>
      </c>
      <c r="E106" s="77">
        <f t="shared" ref="E106:E112" si="11">D106*100/$D$113</f>
        <v>2.0729494816880765</v>
      </c>
      <c r="F106" s="76"/>
      <c r="I106" s="1"/>
      <c r="K106" s="92"/>
      <c r="L106" s="18"/>
      <c r="M106" s="18"/>
      <c r="N106" s="18"/>
    </row>
    <row r="107" spans="1:19" s="3" customFormat="1" ht="24" thickBot="1" x14ac:dyDescent="0.4">
      <c r="A107" s="140"/>
      <c r="B107" s="315" t="s">
        <v>165</v>
      </c>
      <c r="C107" s="316"/>
      <c r="D107" s="76">
        <f>(D105+D106)*30.2%</f>
        <v>327.06599999999997</v>
      </c>
      <c r="E107" s="77">
        <f t="shared" si="11"/>
        <v>8.1685698214191866</v>
      </c>
      <c r="F107" s="76"/>
      <c r="I107" s="1"/>
      <c r="K107" s="98"/>
      <c r="L107" s="18"/>
      <c r="M107" s="18"/>
      <c r="N107" s="18"/>
    </row>
    <row r="108" spans="1:19" s="28" customFormat="1" ht="24" thickBot="1" x14ac:dyDescent="0.4">
      <c r="A108" s="141"/>
      <c r="B108" s="315" t="s">
        <v>39</v>
      </c>
      <c r="C108" s="316"/>
      <c r="D108" s="77">
        <f>0.43*$E$13</f>
        <v>1251.085</v>
      </c>
      <c r="E108" s="77">
        <f t="shared" si="11"/>
        <v>31.246216895153342</v>
      </c>
      <c r="F108" s="77"/>
      <c r="G108" s="20"/>
      <c r="H108" s="20"/>
      <c r="J108" s="20"/>
      <c r="K108" s="94">
        <f>D105+D106+D107+D108+D109</f>
        <v>2682.6509999999998</v>
      </c>
      <c r="L108" s="22"/>
      <c r="M108" s="22"/>
      <c r="N108" s="22"/>
      <c r="O108" s="20"/>
      <c r="P108" s="20"/>
    </row>
    <row r="109" spans="1:19" s="21" customFormat="1" ht="24" thickBot="1" x14ac:dyDescent="0.4">
      <c r="A109" s="141"/>
      <c r="B109" s="315" t="s">
        <v>204</v>
      </c>
      <c r="C109" s="316"/>
      <c r="D109" s="77">
        <f>(D105)*2.15%</f>
        <v>21.5</v>
      </c>
      <c r="E109" s="77">
        <f t="shared" si="11"/>
        <v>0.53696884164209213</v>
      </c>
      <c r="F109" s="77"/>
      <c r="G109" s="20"/>
      <c r="H109" s="20"/>
      <c r="J109" s="20"/>
      <c r="K109" s="95">
        <f>K108/0.67*0.33</f>
        <v>1321.3057164179104</v>
      </c>
      <c r="L109" s="22"/>
      <c r="M109" s="22"/>
      <c r="N109" s="22"/>
      <c r="O109" s="20"/>
      <c r="P109" s="20"/>
    </row>
    <row r="110" spans="1:19" s="21" customFormat="1" ht="24" thickBot="1" x14ac:dyDescent="0.4">
      <c r="A110" s="141"/>
      <c r="B110" s="325" t="s">
        <v>26</v>
      </c>
      <c r="C110" s="326"/>
      <c r="D110" s="77">
        <f>K110</f>
        <v>600.59350746268649</v>
      </c>
      <c r="E110" s="77">
        <f t="shared" si="11"/>
        <v>14.999999999999998</v>
      </c>
      <c r="F110" s="77"/>
      <c r="G110" s="20"/>
      <c r="H110" s="20"/>
      <c r="J110" s="20"/>
      <c r="K110" s="99">
        <f>K109/0.33*0.15</f>
        <v>600.59350746268649</v>
      </c>
      <c r="L110" s="22"/>
      <c r="M110" s="22"/>
      <c r="N110" s="22"/>
      <c r="O110" s="20"/>
      <c r="P110" s="20"/>
    </row>
    <row r="111" spans="1:19" s="21" customFormat="1" ht="24" thickBot="1" x14ac:dyDescent="0.4">
      <c r="A111" s="141"/>
      <c r="B111" s="325" t="s">
        <v>27</v>
      </c>
      <c r="C111" s="326"/>
      <c r="D111" s="77">
        <f>K111</f>
        <v>320.31653731343283</v>
      </c>
      <c r="E111" s="77">
        <f t="shared" si="11"/>
        <v>8</v>
      </c>
      <c r="F111" s="77"/>
      <c r="G111" s="20"/>
      <c r="H111" s="20"/>
      <c r="J111" s="20"/>
      <c r="K111" s="101">
        <f>K109/0.33*0.08</f>
        <v>320.31653731343283</v>
      </c>
      <c r="L111" s="22"/>
      <c r="M111" s="22"/>
      <c r="N111" s="22"/>
      <c r="O111" s="20"/>
      <c r="P111" s="20"/>
    </row>
    <row r="112" spans="1:19" s="21" customFormat="1" ht="24" thickBot="1" x14ac:dyDescent="0.4">
      <c r="A112" s="141"/>
      <c r="B112" s="315" t="s">
        <v>28</v>
      </c>
      <c r="C112" s="316"/>
      <c r="D112" s="77">
        <f>K112</f>
        <v>400.39567164179107</v>
      </c>
      <c r="E112" s="77">
        <f t="shared" si="11"/>
        <v>10</v>
      </c>
      <c r="F112" s="77"/>
      <c r="G112" s="20"/>
      <c r="H112" s="20"/>
      <c r="J112" s="20"/>
      <c r="K112" s="97">
        <f>K109/0.33*0.1</f>
        <v>400.39567164179107</v>
      </c>
      <c r="L112" s="22"/>
      <c r="N112" s="22"/>
      <c r="O112" s="20"/>
      <c r="P112" s="20"/>
    </row>
    <row r="113" spans="1:16" s="28" customFormat="1" x14ac:dyDescent="0.35">
      <c r="A113" s="141"/>
      <c r="B113" s="315" t="s">
        <v>29</v>
      </c>
      <c r="C113" s="316"/>
      <c r="D113" s="77">
        <f>D105+D106+D107+D108+D109+D110+D111+D112</f>
        <v>4003.9567164179102</v>
      </c>
      <c r="E113" s="77"/>
      <c r="F113" s="77"/>
      <c r="G113" s="20"/>
      <c r="H113" s="20"/>
      <c r="J113" s="20"/>
      <c r="K113" s="93"/>
      <c r="L113" s="22"/>
      <c r="N113" s="22"/>
      <c r="O113" s="20"/>
      <c r="P113" s="20"/>
    </row>
    <row r="114" spans="1:16" s="28" customFormat="1" x14ac:dyDescent="0.35">
      <c r="A114" s="141"/>
      <c r="B114" s="315" t="s">
        <v>30</v>
      </c>
      <c r="C114" s="316"/>
      <c r="D114" s="77">
        <v>0</v>
      </c>
      <c r="E114" s="77"/>
      <c r="F114" s="77"/>
      <c r="G114" s="20"/>
      <c r="H114" s="20"/>
      <c r="J114" s="20"/>
      <c r="K114" s="93"/>
      <c r="L114" s="22"/>
      <c r="N114" s="22"/>
      <c r="O114" s="20"/>
      <c r="P114" s="20"/>
    </row>
    <row r="115" spans="1:16" s="28" customFormat="1" ht="24" thickBot="1" x14ac:dyDescent="0.4">
      <c r="A115" s="140">
        <v>7</v>
      </c>
      <c r="B115" s="317" t="s">
        <v>358</v>
      </c>
      <c r="C115" s="318"/>
      <c r="D115" s="78">
        <f>D120+D121</f>
        <v>3658.5365853658541</v>
      </c>
      <c r="E115" s="78">
        <f>E116+E117+E118+E119</f>
        <v>99.999999999999986</v>
      </c>
      <c r="F115" s="78">
        <f>D115/$E$13/1</f>
        <v>1.2574451229990906</v>
      </c>
      <c r="G115" s="20"/>
      <c r="H115" s="20"/>
      <c r="J115" s="20"/>
      <c r="K115" s="93"/>
      <c r="L115" s="22"/>
      <c r="N115" s="22"/>
      <c r="O115" s="20"/>
      <c r="P115" s="20"/>
    </row>
    <row r="116" spans="1:16" s="28" customFormat="1" ht="24" thickBot="1" x14ac:dyDescent="0.4">
      <c r="A116" s="140"/>
      <c r="B116" s="323" t="s">
        <v>40</v>
      </c>
      <c r="C116" s="324"/>
      <c r="D116" s="79">
        <v>3000</v>
      </c>
      <c r="E116" s="79">
        <f>D116*100/$D$120</f>
        <v>81.999999999999986</v>
      </c>
      <c r="F116" s="81"/>
      <c r="G116" s="20"/>
      <c r="H116" s="20"/>
      <c r="J116" s="20"/>
      <c r="K116" s="94">
        <f>D116+D117</f>
        <v>3000</v>
      </c>
      <c r="L116" s="22"/>
      <c r="M116" s="355" t="s">
        <v>158</v>
      </c>
      <c r="N116" s="355"/>
      <c r="O116" s="61">
        <v>10000</v>
      </c>
      <c r="P116" s="62" t="s">
        <v>151</v>
      </c>
    </row>
    <row r="117" spans="1:16" s="28" customFormat="1" ht="24" thickBot="1" x14ac:dyDescent="0.4">
      <c r="A117" s="140"/>
      <c r="B117" s="321" t="s">
        <v>41</v>
      </c>
      <c r="C117" s="322"/>
      <c r="D117" s="77">
        <v>0</v>
      </c>
      <c r="E117" s="77">
        <f>D117*100/$D$120</f>
        <v>0</v>
      </c>
      <c r="F117" s="81"/>
      <c r="G117" s="20"/>
      <c r="H117" s="20"/>
      <c r="J117" s="20"/>
      <c r="K117" s="95">
        <f>K116/0.82*0.18</f>
        <v>658.53658536585374</v>
      </c>
      <c r="L117" s="22"/>
      <c r="M117" s="355" t="s">
        <v>160</v>
      </c>
      <c r="N117" s="355"/>
      <c r="O117" s="119">
        <v>12</v>
      </c>
      <c r="P117" s="62" t="s">
        <v>159</v>
      </c>
    </row>
    <row r="118" spans="1:16" s="28" customFormat="1" ht="24" thickBot="1" x14ac:dyDescent="0.4">
      <c r="A118" s="141"/>
      <c r="B118" s="315" t="s">
        <v>27</v>
      </c>
      <c r="C118" s="316"/>
      <c r="D118" s="77">
        <f>K118</f>
        <v>292.68292682926835</v>
      </c>
      <c r="E118" s="77">
        <f>D118*100/$D$120</f>
        <v>8.0000000000000018</v>
      </c>
      <c r="F118" s="77"/>
      <c r="G118" s="20"/>
      <c r="H118" s="20"/>
      <c r="J118" s="20"/>
      <c r="K118" s="100">
        <f>K117/0.18*0.08</f>
        <v>292.68292682926835</v>
      </c>
      <c r="L118" s="22"/>
      <c r="M118" s="355" t="s">
        <v>162</v>
      </c>
      <c r="N118" s="355"/>
      <c r="O118" s="120">
        <v>1</v>
      </c>
      <c r="P118" s="62" t="s">
        <v>164</v>
      </c>
    </row>
    <row r="119" spans="1:16" s="28" customFormat="1" ht="24" thickBot="1" x14ac:dyDescent="0.4">
      <c r="A119" s="141"/>
      <c r="B119" s="315" t="s">
        <v>28</v>
      </c>
      <c r="C119" s="316"/>
      <c r="D119" s="77">
        <f>K119</f>
        <v>365.85365853658544</v>
      </c>
      <c r="E119" s="77">
        <f>D119*100/$D$120</f>
        <v>10</v>
      </c>
      <c r="F119" s="77"/>
      <c r="G119" s="20"/>
      <c r="H119" s="20"/>
      <c r="J119" s="20"/>
      <c r="K119" s="100">
        <f>K117/0.18*0.1</f>
        <v>365.85365853658544</v>
      </c>
      <c r="L119" s="22"/>
      <c r="M119" s="355" t="s">
        <v>161</v>
      </c>
      <c r="N119" s="355"/>
      <c r="O119" s="61">
        <f>O116*O117*O118</f>
        <v>120000</v>
      </c>
      <c r="P119" s="62" t="s">
        <v>151</v>
      </c>
    </row>
    <row r="120" spans="1:16" s="28" customFormat="1" ht="24" thickBot="1" x14ac:dyDescent="0.4">
      <c r="A120" s="140"/>
      <c r="B120" s="321" t="s">
        <v>29</v>
      </c>
      <c r="C120" s="322"/>
      <c r="D120" s="77">
        <f>D116+D117+D118+D119</f>
        <v>3658.5365853658541</v>
      </c>
      <c r="E120" s="77"/>
      <c r="F120" s="81"/>
      <c r="G120" s="20"/>
      <c r="H120" s="20"/>
      <c r="J120" s="20"/>
      <c r="K120" s="103"/>
      <c r="L120" s="22"/>
      <c r="M120" s="355" t="s">
        <v>163</v>
      </c>
      <c r="N120" s="355"/>
      <c r="O120" s="61">
        <f>O119/12</f>
        <v>10000</v>
      </c>
      <c r="P120" s="62" t="s">
        <v>151</v>
      </c>
    </row>
    <row r="121" spans="1:16" s="28" customFormat="1" ht="24" thickBot="1" x14ac:dyDescent="0.4">
      <c r="A121" s="140"/>
      <c r="B121" s="321" t="s">
        <v>30</v>
      </c>
      <c r="C121" s="322"/>
      <c r="D121" s="77">
        <v>0</v>
      </c>
      <c r="E121" s="77"/>
      <c r="F121" s="81"/>
      <c r="G121" s="20"/>
      <c r="H121" s="20"/>
      <c r="J121" s="20"/>
      <c r="K121" s="103"/>
      <c r="L121" s="22"/>
      <c r="N121" s="22"/>
      <c r="O121" s="20"/>
      <c r="P121" s="20"/>
    </row>
    <row r="122" spans="1:16" s="28" customFormat="1" ht="24" thickBot="1" x14ac:dyDescent="0.4">
      <c r="A122" s="140">
        <v>8</v>
      </c>
      <c r="B122" s="317" t="s">
        <v>360</v>
      </c>
      <c r="C122" s="318"/>
      <c r="D122" s="78">
        <f>D126+D127</f>
        <v>0</v>
      </c>
      <c r="E122" s="78" t="e">
        <f>E123+E124+E125</f>
        <v>#DIV/0!</v>
      </c>
      <c r="F122" s="78">
        <f>D122/$E$13/1</f>
        <v>0</v>
      </c>
      <c r="G122" s="20"/>
      <c r="H122" s="20"/>
      <c r="J122" s="20"/>
      <c r="K122" s="104"/>
      <c r="L122" s="22"/>
      <c r="M122" s="355" t="s">
        <v>158</v>
      </c>
      <c r="N122" s="355"/>
      <c r="O122" s="61">
        <v>2500</v>
      </c>
      <c r="P122" s="62" t="s">
        <v>151</v>
      </c>
    </row>
    <row r="123" spans="1:16" s="28" customFormat="1" ht="24" thickBot="1" x14ac:dyDescent="0.4">
      <c r="A123" s="140"/>
      <c r="B123" s="323" t="s">
        <v>360</v>
      </c>
      <c r="C123" s="324"/>
      <c r="D123" s="79">
        <v>0</v>
      </c>
      <c r="E123" s="79" t="e">
        <f>D123*100/$D$126</f>
        <v>#DIV/0!</v>
      </c>
      <c r="F123" s="81"/>
      <c r="G123" s="20"/>
      <c r="H123" s="20"/>
      <c r="J123" s="20"/>
      <c r="K123" s="94">
        <f>D123</f>
        <v>0</v>
      </c>
      <c r="L123" s="22"/>
      <c r="M123" s="355" t="s">
        <v>160</v>
      </c>
      <c r="N123" s="355"/>
      <c r="O123" s="119">
        <v>12</v>
      </c>
      <c r="P123" s="62" t="s">
        <v>159</v>
      </c>
    </row>
    <row r="124" spans="1:16" s="28" customFormat="1" ht="24" thickBot="1" x14ac:dyDescent="0.4">
      <c r="A124" s="141"/>
      <c r="B124" s="315" t="s">
        <v>27</v>
      </c>
      <c r="C124" s="316"/>
      <c r="D124" s="77">
        <f>K125</f>
        <v>0</v>
      </c>
      <c r="E124" s="77" t="e">
        <f>D124*100/$D$126</f>
        <v>#DIV/0!</v>
      </c>
      <c r="F124" s="77"/>
      <c r="G124" s="20"/>
      <c r="H124" s="20"/>
      <c r="J124" s="20"/>
      <c r="K124" s="95">
        <f>(K123)/0.82*0.18</f>
        <v>0</v>
      </c>
      <c r="L124" s="22"/>
      <c r="M124" s="355" t="s">
        <v>162</v>
      </c>
      <c r="N124" s="361"/>
      <c r="O124" s="120">
        <v>1</v>
      </c>
      <c r="P124" s="62" t="s">
        <v>164</v>
      </c>
    </row>
    <row r="125" spans="1:16" s="28" customFormat="1" ht="24" thickBot="1" x14ac:dyDescent="0.4">
      <c r="A125" s="141"/>
      <c r="B125" s="315" t="s">
        <v>28</v>
      </c>
      <c r="C125" s="316"/>
      <c r="D125" s="77">
        <f>K126</f>
        <v>0</v>
      </c>
      <c r="E125" s="77" t="e">
        <f>D125*100/$D$126</f>
        <v>#DIV/0!</v>
      </c>
      <c r="F125" s="77"/>
      <c r="G125" s="20"/>
      <c r="H125" s="20"/>
      <c r="J125" s="20"/>
      <c r="K125" s="97">
        <f>(K124)/0.18*0.08</f>
        <v>0</v>
      </c>
      <c r="L125" s="22"/>
      <c r="M125" s="355" t="s">
        <v>161</v>
      </c>
      <c r="N125" s="361"/>
      <c r="O125" s="61">
        <f>O122*O123*O124</f>
        <v>30000</v>
      </c>
      <c r="P125" s="62" t="s">
        <v>151</v>
      </c>
    </row>
    <row r="126" spans="1:16" s="28" customFormat="1" ht="24" thickBot="1" x14ac:dyDescent="0.4">
      <c r="A126" s="140"/>
      <c r="B126" s="321" t="s">
        <v>29</v>
      </c>
      <c r="C126" s="322"/>
      <c r="D126" s="77">
        <f>D123+D124+D125</f>
        <v>0</v>
      </c>
      <c r="E126" s="77"/>
      <c r="F126" s="81"/>
      <c r="G126" s="20"/>
      <c r="H126" s="20"/>
      <c r="J126" s="20"/>
      <c r="K126" s="97">
        <f>K124/0.18*0.1</f>
        <v>0</v>
      </c>
      <c r="L126" s="22"/>
      <c r="M126" s="355" t="s">
        <v>163</v>
      </c>
      <c r="N126" s="355"/>
      <c r="O126" s="61">
        <f>O125/12</f>
        <v>2500</v>
      </c>
      <c r="P126" s="62" t="s">
        <v>151</v>
      </c>
    </row>
    <row r="127" spans="1:16" s="28" customFormat="1" x14ac:dyDescent="0.35">
      <c r="A127" s="140"/>
      <c r="B127" s="321" t="s">
        <v>30</v>
      </c>
      <c r="C127" s="322"/>
      <c r="D127" s="77">
        <v>0</v>
      </c>
      <c r="E127" s="77"/>
      <c r="F127" s="81"/>
      <c r="G127" s="20"/>
      <c r="H127" s="20"/>
      <c r="J127" s="20"/>
      <c r="K127" s="103"/>
      <c r="L127" s="22"/>
    </row>
    <row r="128" spans="1:16" s="28" customFormat="1" ht="24" thickBot="1" x14ac:dyDescent="0.4">
      <c r="A128" s="140">
        <v>9</v>
      </c>
      <c r="B128" s="317" t="s">
        <v>361</v>
      </c>
      <c r="C128" s="318"/>
      <c r="D128" s="78">
        <f>D132+D133</f>
        <v>0</v>
      </c>
      <c r="E128" s="78" t="e">
        <f>E129+E130+E131</f>
        <v>#DIV/0!</v>
      </c>
      <c r="F128" s="78">
        <f>D128/$E$13/1</f>
        <v>0</v>
      </c>
      <c r="G128" s="20"/>
      <c r="H128" s="20"/>
      <c r="J128" s="20"/>
      <c r="K128" s="93"/>
      <c r="L128" s="22"/>
    </row>
    <row r="129" spans="1:16" s="28" customFormat="1" ht="24" thickBot="1" x14ac:dyDescent="0.4">
      <c r="A129" s="140"/>
      <c r="B129" s="321" t="s">
        <v>361</v>
      </c>
      <c r="C129" s="322"/>
      <c r="D129" s="77">
        <v>0</v>
      </c>
      <c r="E129" s="77" t="e">
        <f>D129*100/$D$132</f>
        <v>#DIV/0!</v>
      </c>
      <c r="F129" s="81"/>
      <c r="G129" s="20"/>
      <c r="H129" s="20"/>
      <c r="J129" s="20"/>
      <c r="K129" s="95">
        <f>D129</f>
        <v>0</v>
      </c>
      <c r="L129" s="22"/>
      <c r="M129" s="22"/>
      <c r="N129" s="22"/>
      <c r="O129" s="20"/>
      <c r="P129" s="20"/>
    </row>
    <row r="130" spans="1:16" s="28" customFormat="1" ht="24" thickBot="1" x14ac:dyDescent="0.4">
      <c r="A130" s="141"/>
      <c r="B130" s="315" t="s">
        <v>27</v>
      </c>
      <c r="C130" s="316"/>
      <c r="D130" s="77">
        <f>K131</f>
        <v>0</v>
      </c>
      <c r="E130" s="77" t="e">
        <f>D130*100/$D$132</f>
        <v>#DIV/0!</v>
      </c>
      <c r="F130" s="77"/>
      <c r="G130" s="20"/>
      <c r="H130" s="20"/>
      <c r="J130" s="20"/>
      <c r="K130" s="99">
        <f>K129/0.82*0.18</f>
        <v>0</v>
      </c>
      <c r="L130" s="22"/>
      <c r="M130" s="22"/>
      <c r="N130" s="22"/>
      <c r="O130" s="20"/>
      <c r="P130" s="20"/>
    </row>
    <row r="131" spans="1:16" s="28" customFormat="1" ht="24" thickBot="1" x14ac:dyDescent="0.4">
      <c r="A131" s="141"/>
      <c r="B131" s="315" t="s">
        <v>28</v>
      </c>
      <c r="C131" s="316"/>
      <c r="D131" s="77">
        <f>K132</f>
        <v>0</v>
      </c>
      <c r="E131" s="77" t="e">
        <f>D131*100/$D$132</f>
        <v>#DIV/0!</v>
      </c>
      <c r="F131" s="77"/>
      <c r="G131" s="20"/>
      <c r="H131" s="20"/>
      <c r="J131" s="20"/>
      <c r="K131" s="97">
        <f>K130/0.18*0.08</f>
        <v>0</v>
      </c>
      <c r="L131" s="22"/>
      <c r="M131" s="22"/>
      <c r="N131" s="22"/>
      <c r="O131" s="20"/>
      <c r="P131" s="20"/>
    </row>
    <row r="132" spans="1:16" s="28" customFormat="1" ht="24" thickBot="1" x14ac:dyDescent="0.4">
      <c r="A132" s="140"/>
      <c r="B132" s="321" t="s">
        <v>29</v>
      </c>
      <c r="C132" s="322"/>
      <c r="D132" s="77">
        <f>D129+D130+D131</f>
        <v>0</v>
      </c>
      <c r="E132" s="77"/>
      <c r="F132" s="81"/>
      <c r="G132" s="20"/>
      <c r="H132" s="20"/>
      <c r="J132" s="20"/>
      <c r="K132" s="100">
        <f>K130/0.18*0.1</f>
        <v>0</v>
      </c>
      <c r="L132" s="22"/>
      <c r="M132" s="22"/>
      <c r="N132" s="22"/>
      <c r="O132" s="20"/>
      <c r="P132" s="20"/>
    </row>
    <row r="133" spans="1:16" s="28" customFormat="1" x14ac:dyDescent="0.35">
      <c r="A133" s="140"/>
      <c r="B133" s="321" t="s">
        <v>30</v>
      </c>
      <c r="C133" s="322"/>
      <c r="D133" s="77">
        <v>0</v>
      </c>
      <c r="E133" s="77"/>
      <c r="F133" s="81"/>
      <c r="G133" s="20"/>
      <c r="H133" s="20"/>
      <c r="J133" s="20"/>
      <c r="K133" s="103"/>
      <c r="L133" s="22"/>
      <c r="M133" s="22"/>
      <c r="N133" s="22"/>
      <c r="O133" s="20"/>
      <c r="P133" s="20"/>
    </row>
    <row r="134" spans="1:16" s="35" customFormat="1" ht="44.25" customHeight="1" x14ac:dyDescent="0.35">
      <c r="A134" s="141"/>
      <c r="B134" s="319" t="s">
        <v>42</v>
      </c>
      <c r="C134" s="320"/>
      <c r="D134" s="82">
        <f>D17+D30+D37+D44+D50+D61+D73+D83+D90+D97+D104+D115+D122+D128</f>
        <v>70066.758228223</v>
      </c>
      <c r="E134" s="82">
        <v>100</v>
      </c>
      <c r="F134" s="82">
        <f>D134/$E$13</f>
        <v>24.082061601039008</v>
      </c>
      <c r="G134" s="34"/>
      <c r="H134" s="34"/>
      <c r="J134" s="34"/>
      <c r="K134" s="106"/>
      <c r="L134" s="36"/>
      <c r="M134" s="36"/>
      <c r="N134" s="36"/>
      <c r="O134" s="34"/>
      <c r="P134" s="34"/>
    </row>
    <row r="135" spans="1:16" x14ac:dyDescent="0.35">
      <c r="A135" s="140" t="s">
        <v>362</v>
      </c>
      <c r="B135" s="317" t="s">
        <v>43</v>
      </c>
      <c r="C135" s="318"/>
      <c r="D135" s="78">
        <f>D143+D144</f>
        <v>0</v>
      </c>
      <c r="E135" s="78" t="e">
        <f>E136+E137+E138+E139+E140+E141+E142</f>
        <v>#DIV/0!</v>
      </c>
      <c r="F135" s="78">
        <f>D135/$E$13</f>
        <v>0</v>
      </c>
      <c r="G135" s="3"/>
    </row>
    <row r="136" spans="1:16" s="28" customFormat="1" ht="24" thickBot="1" x14ac:dyDescent="0.4">
      <c r="A136" s="141"/>
      <c r="B136" s="315" t="s">
        <v>17</v>
      </c>
      <c r="C136" s="316"/>
      <c r="D136" s="77">
        <f>G136*H136</f>
        <v>0</v>
      </c>
      <c r="E136" s="77" t="e">
        <f t="shared" ref="E136:E142" si="12">D136*100/$D$143</f>
        <v>#DIV/0!</v>
      </c>
      <c r="F136" s="77"/>
      <c r="G136" s="58">
        <v>9030</v>
      </c>
      <c r="H136" s="86">
        <v>0</v>
      </c>
      <c r="I136" s="37"/>
      <c r="J136" s="20"/>
      <c r="K136" s="93"/>
      <c r="L136" s="22"/>
      <c r="M136" s="22"/>
      <c r="N136" s="22"/>
      <c r="O136" s="20"/>
      <c r="P136" s="20"/>
    </row>
    <row r="137" spans="1:16" s="3" customFormat="1" ht="24" thickBot="1" x14ac:dyDescent="0.4">
      <c r="A137" s="140"/>
      <c r="B137" s="315" t="s">
        <v>18</v>
      </c>
      <c r="C137" s="316"/>
      <c r="D137" s="76">
        <f>D136*8.3%</f>
        <v>0</v>
      </c>
      <c r="E137" s="77" t="e">
        <f t="shared" si="12"/>
        <v>#DIV/0!</v>
      </c>
      <c r="F137" s="76"/>
      <c r="I137" s="1"/>
      <c r="K137" s="105">
        <f>D136+D137+D138+D139+D140</f>
        <v>0</v>
      </c>
      <c r="L137" s="91"/>
      <c r="M137" s="18"/>
      <c r="N137" s="18"/>
    </row>
    <row r="138" spans="1:16" s="3" customFormat="1" ht="24" thickBot="1" x14ac:dyDescent="0.4">
      <c r="A138" s="140"/>
      <c r="B138" s="315" t="s">
        <v>165</v>
      </c>
      <c r="C138" s="316"/>
      <c r="D138" s="76">
        <f>(D136+D137)*30.2%</f>
        <v>0</v>
      </c>
      <c r="E138" s="77" t="e">
        <f t="shared" si="12"/>
        <v>#DIV/0!</v>
      </c>
      <c r="F138" s="76"/>
      <c r="I138" s="1"/>
      <c r="K138" s="105">
        <f>K137/0.75*0.25</f>
        <v>0</v>
      </c>
      <c r="L138" s="91"/>
      <c r="M138" s="18"/>
      <c r="N138" s="18"/>
    </row>
    <row r="139" spans="1:16" ht="24" customHeight="1" thickBot="1" x14ac:dyDescent="0.4">
      <c r="A139" s="141"/>
      <c r="B139" s="315" t="s">
        <v>203</v>
      </c>
      <c r="C139" s="316"/>
      <c r="D139" s="77">
        <f>D136*1.3%</f>
        <v>0</v>
      </c>
      <c r="E139" s="77" t="e">
        <f t="shared" si="12"/>
        <v>#DIV/0!</v>
      </c>
      <c r="F139" s="77"/>
      <c r="G139" s="3"/>
      <c r="J139" s="90"/>
      <c r="K139" s="98">
        <f>K138/0.25*0.15</f>
        <v>0</v>
      </c>
      <c r="L139" s="91"/>
    </row>
    <row r="140" spans="1:16" ht="24" customHeight="1" thickBot="1" x14ac:dyDescent="0.4">
      <c r="A140" s="141"/>
      <c r="B140" s="315" t="s">
        <v>173</v>
      </c>
      <c r="C140" s="316"/>
      <c r="D140" s="77">
        <f>D136*2.84%</f>
        <v>0</v>
      </c>
      <c r="E140" s="77" t="e">
        <f t="shared" si="12"/>
        <v>#DIV/0!</v>
      </c>
      <c r="F140" s="77"/>
      <c r="G140" s="3"/>
      <c r="K140" s="97">
        <f>K138/0.25*0.1</f>
        <v>0</v>
      </c>
    </row>
    <row r="141" spans="1:16" x14ac:dyDescent="0.35">
      <c r="A141" s="141"/>
      <c r="B141" s="315" t="s">
        <v>26</v>
      </c>
      <c r="C141" s="316"/>
      <c r="D141" s="77">
        <f>K139</f>
        <v>0</v>
      </c>
      <c r="E141" s="77" t="e">
        <f t="shared" si="12"/>
        <v>#DIV/0!</v>
      </c>
      <c r="F141" s="77"/>
      <c r="G141" s="3"/>
      <c r="K141" s="108"/>
    </row>
    <row r="142" spans="1:16" x14ac:dyDescent="0.35">
      <c r="A142" s="141"/>
      <c r="B142" s="315" t="s">
        <v>28</v>
      </c>
      <c r="C142" s="316"/>
      <c r="D142" s="77">
        <f>K140</f>
        <v>0</v>
      </c>
      <c r="E142" s="77" t="e">
        <f t="shared" si="12"/>
        <v>#DIV/0!</v>
      </c>
      <c r="F142" s="77"/>
      <c r="G142" s="3"/>
      <c r="K142" s="73"/>
    </row>
    <row r="143" spans="1:16" ht="24" customHeight="1" x14ac:dyDescent="0.35">
      <c r="A143" s="141"/>
      <c r="B143" s="315" t="s">
        <v>29</v>
      </c>
      <c r="C143" s="316"/>
      <c r="D143" s="77">
        <f>D136+D137+D138+D139+D140+D141+D142</f>
        <v>0</v>
      </c>
      <c r="E143" s="77"/>
      <c r="F143" s="77"/>
      <c r="G143" s="3"/>
      <c r="K143" s="73"/>
    </row>
    <row r="144" spans="1:16" ht="24" customHeight="1" x14ac:dyDescent="0.35">
      <c r="A144" s="141"/>
      <c r="B144" s="315" t="s">
        <v>30</v>
      </c>
      <c r="C144" s="316"/>
      <c r="D144" s="77">
        <v>0</v>
      </c>
      <c r="E144" s="77"/>
      <c r="F144" s="77"/>
      <c r="G144" s="3"/>
      <c r="K144" s="73"/>
    </row>
    <row r="145" spans="1:16" ht="24" customHeight="1" thickBot="1" x14ac:dyDescent="0.4">
      <c r="A145" s="140" t="s">
        <v>109</v>
      </c>
      <c r="B145" s="317" t="s">
        <v>147</v>
      </c>
      <c r="C145" s="318"/>
      <c r="D145" s="75">
        <f>D149+D150</f>
        <v>4468.5990338164247</v>
      </c>
      <c r="E145" s="75">
        <f>E146+E147+E148</f>
        <v>100.00000000000001</v>
      </c>
      <c r="F145" s="78">
        <f>D145/$E$13</f>
        <v>1.5358649368676489</v>
      </c>
      <c r="G145" s="3"/>
      <c r="K145" s="109"/>
    </row>
    <row r="146" spans="1:16" s="21" customFormat="1" ht="24" thickBot="1" x14ac:dyDescent="0.4">
      <c r="A146" s="141"/>
      <c r="B146" s="315" t="s">
        <v>172</v>
      </c>
      <c r="C146" s="316"/>
      <c r="D146" s="76">
        <v>3700</v>
      </c>
      <c r="E146" s="76">
        <f>D146*100/$D$149</f>
        <v>82.800000000000011</v>
      </c>
      <c r="F146" s="76"/>
      <c r="G146" s="20"/>
      <c r="H146" s="20"/>
      <c r="J146" s="89"/>
      <c r="K146" s="107">
        <f>D146</f>
        <v>3700</v>
      </c>
      <c r="L146" s="88"/>
      <c r="M146" s="27"/>
      <c r="N146" s="22"/>
      <c r="O146" s="20"/>
      <c r="P146" s="20"/>
    </row>
    <row r="147" spans="1:16" s="21" customFormat="1" ht="27" thickBot="1" x14ac:dyDescent="0.45">
      <c r="A147" s="141"/>
      <c r="B147" s="315" t="s">
        <v>26</v>
      </c>
      <c r="C147" s="316"/>
      <c r="D147" s="76">
        <f>K148</f>
        <v>321.73913043478262</v>
      </c>
      <c r="E147" s="76">
        <f>D147*100/$D$149</f>
        <v>7.2000000000000011</v>
      </c>
      <c r="F147" s="76"/>
      <c r="G147" s="20"/>
      <c r="H147" s="20"/>
      <c r="J147" s="89"/>
      <c r="K147" s="107">
        <f>K146/82.8*17.2</f>
        <v>768.59903381642516</v>
      </c>
      <c r="L147" s="88"/>
      <c r="M147" s="27"/>
      <c r="N147" s="24"/>
      <c r="O147" s="20"/>
      <c r="P147" s="20"/>
    </row>
    <row r="148" spans="1:16" s="21" customFormat="1" ht="24" thickBot="1" x14ac:dyDescent="0.4">
      <c r="A148" s="141"/>
      <c r="B148" s="315" t="s">
        <v>28</v>
      </c>
      <c r="C148" s="316"/>
      <c r="D148" s="76">
        <f>K149</f>
        <v>446.85990338164254</v>
      </c>
      <c r="E148" s="76">
        <f>D148*100/$D$149</f>
        <v>10</v>
      </c>
      <c r="F148" s="76"/>
      <c r="G148" s="20"/>
      <c r="H148" s="20"/>
      <c r="J148" s="20"/>
      <c r="K148" s="105">
        <f>K147/17.2*7.2</f>
        <v>321.73913043478262</v>
      </c>
      <c r="L148" s="88"/>
      <c r="M148" s="27"/>
      <c r="N148" s="27"/>
      <c r="O148" s="20"/>
      <c r="P148" s="20"/>
    </row>
    <row r="149" spans="1:16" s="28" customFormat="1" ht="24" thickBot="1" x14ac:dyDescent="0.4">
      <c r="A149" s="141"/>
      <c r="B149" s="315" t="s">
        <v>29</v>
      </c>
      <c r="C149" s="316"/>
      <c r="D149" s="77">
        <f>D146+D147+D148</f>
        <v>4468.5990338164247</v>
      </c>
      <c r="E149" s="77"/>
      <c r="F149" s="77"/>
      <c r="G149" s="20"/>
      <c r="H149" s="20"/>
      <c r="J149" s="89"/>
      <c r="K149" s="110">
        <f>K147/17.2*10</f>
        <v>446.85990338164254</v>
      </c>
      <c r="L149" s="88"/>
      <c r="M149" s="27"/>
      <c r="N149" s="27"/>
      <c r="O149" s="20"/>
      <c r="P149" s="20"/>
    </row>
    <row r="150" spans="1:16" s="28" customFormat="1" ht="28.5" x14ac:dyDescent="0.45">
      <c r="A150" s="141"/>
      <c r="B150" s="315" t="s">
        <v>30</v>
      </c>
      <c r="C150" s="316"/>
      <c r="D150" s="77">
        <v>0</v>
      </c>
      <c r="E150" s="77"/>
      <c r="F150" s="77"/>
      <c r="G150" s="20"/>
      <c r="H150" s="20"/>
      <c r="J150" s="20"/>
      <c r="K150" s="111"/>
      <c r="L150" s="22"/>
      <c r="M150" s="29"/>
      <c r="N150" s="22"/>
      <c r="O150" s="20"/>
      <c r="P150" s="20"/>
    </row>
    <row r="151" spans="1:16" s="28" customFormat="1" ht="24" customHeight="1" thickBot="1" x14ac:dyDescent="0.5">
      <c r="A151" s="140" t="s">
        <v>110</v>
      </c>
      <c r="B151" s="317" t="s">
        <v>279</v>
      </c>
      <c r="C151" s="318"/>
      <c r="D151" s="75">
        <f>D154+D155</f>
        <v>0</v>
      </c>
      <c r="E151" s="75" t="e">
        <f>E152+E153</f>
        <v>#DIV/0!</v>
      </c>
      <c r="F151" s="78">
        <f>D151/$E$13</f>
        <v>0</v>
      </c>
      <c r="G151" s="20"/>
      <c r="H151" s="20"/>
      <c r="J151" s="20"/>
      <c r="K151" s="165"/>
      <c r="L151" s="22"/>
      <c r="M151" s="29"/>
      <c r="N151" s="22"/>
      <c r="O151" s="20"/>
      <c r="P151" s="20"/>
    </row>
    <row r="152" spans="1:16" s="28" customFormat="1" ht="24" customHeight="1" thickBot="1" x14ac:dyDescent="0.5">
      <c r="A152" s="141"/>
      <c r="B152" s="315" t="s">
        <v>172</v>
      </c>
      <c r="C152" s="316"/>
      <c r="D152" s="76">
        <v>0</v>
      </c>
      <c r="E152" s="76" t="e">
        <f>D152*100/$D$154</f>
        <v>#DIV/0!</v>
      </c>
      <c r="F152" s="76"/>
      <c r="G152" s="20"/>
      <c r="H152" s="20"/>
      <c r="J152" s="20"/>
      <c r="K152" s="95">
        <f>D152</f>
        <v>0</v>
      </c>
      <c r="L152" s="22"/>
      <c r="M152" s="29"/>
      <c r="N152" s="22"/>
      <c r="O152" s="20"/>
      <c r="P152" s="20"/>
    </row>
    <row r="153" spans="1:16" s="28" customFormat="1" ht="24" customHeight="1" thickBot="1" x14ac:dyDescent="0.5">
      <c r="A153" s="141"/>
      <c r="B153" s="315" t="s">
        <v>28</v>
      </c>
      <c r="C153" s="316"/>
      <c r="D153" s="76">
        <f>K153</f>
        <v>0</v>
      </c>
      <c r="E153" s="76" t="e">
        <f>D153*100/$D$154</f>
        <v>#DIV/0!</v>
      </c>
      <c r="F153" s="76"/>
      <c r="G153" s="20"/>
      <c r="H153" s="20"/>
      <c r="J153" s="20"/>
      <c r="K153" s="95">
        <f>K152/90*10</f>
        <v>0</v>
      </c>
      <c r="L153" s="22"/>
      <c r="M153" s="29"/>
      <c r="N153" s="22"/>
      <c r="O153" s="20"/>
      <c r="P153" s="20"/>
    </row>
    <row r="154" spans="1:16" s="28" customFormat="1" ht="24" customHeight="1" x14ac:dyDescent="0.45">
      <c r="A154" s="141"/>
      <c r="B154" s="315" t="s">
        <v>29</v>
      </c>
      <c r="C154" s="316"/>
      <c r="D154" s="77">
        <f>D152+D153</f>
        <v>0</v>
      </c>
      <c r="E154" s="77"/>
      <c r="F154" s="77"/>
      <c r="G154" s="20"/>
      <c r="H154" s="20"/>
      <c r="J154" s="20"/>
      <c r="K154" s="165"/>
      <c r="L154" s="22"/>
      <c r="M154" s="29"/>
      <c r="N154" s="22"/>
      <c r="O154" s="20"/>
      <c r="P154" s="20"/>
    </row>
    <row r="155" spans="1:16" s="28" customFormat="1" ht="24" customHeight="1" x14ac:dyDescent="0.45">
      <c r="A155" s="141"/>
      <c r="B155" s="315" t="s">
        <v>30</v>
      </c>
      <c r="C155" s="316"/>
      <c r="D155" s="77">
        <v>0</v>
      </c>
      <c r="E155" s="77"/>
      <c r="F155" s="77"/>
      <c r="G155" s="20"/>
      <c r="H155" s="20"/>
      <c r="J155" s="20"/>
      <c r="K155" s="165"/>
      <c r="L155" s="22"/>
      <c r="M155" s="29"/>
      <c r="N155" s="22"/>
      <c r="O155" s="20"/>
      <c r="P155" s="20"/>
    </row>
    <row r="156" spans="1:16" ht="24" thickBot="1" x14ac:dyDescent="0.4">
      <c r="A156" s="140" t="s">
        <v>112</v>
      </c>
      <c r="B156" s="317" t="s">
        <v>45</v>
      </c>
      <c r="C156" s="318"/>
      <c r="D156" s="78">
        <f>D160+D161</f>
        <v>7340.3615</v>
      </c>
      <c r="E156" s="78">
        <v>100</v>
      </c>
      <c r="F156" s="78">
        <f>D156/$E$13</f>
        <v>2.5228944835882454</v>
      </c>
      <c r="G156" s="3"/>
    </row>
    <row r="157" spans="1:16" s="21" customFormat="1" ht="24" thickBot="1" x14ac:dyDescent="0.4">
      <c r="A157" s="141"/>
      <c r="B157" s="315" t="s">
        <v>37</v>
      </c>
      <c r="C157" s="316"/>
      <c r="D157" s="76">
        <v>6500</v>
      </c>
      <c r="E157" s="76"/>
      <c r="F157" s="76"/>
      <c r="G157" s="20"/>
      <c r="H157" s="20"/>
      <c r="J157" s="20"/>
      <c r="K157" s="112">
        <f>1.31*$E$14*1.1</f>
        <v>4077.3095000000003</v>
      </c>
      <c r="L157" s="22"/>
      <c r="M157" s="27"/>
      <c r="N157" s="22"/>
      <c r="O157" s="20"/>
      <c r="P157" s="20"/>
    </row>
    <row r="158" spans="1:16" s="21" customFormat="1" ht="27" thickBot="1" x14ac:dyDescent="0.45">
      <c r="A158" s="141"/>
      <c r="B158" s="315" t="s">
        <v>26</v>
      </c>
      <c r="C158" s="316"/>
      <c r="D158" s="76">
        <f>K159</f>
        <v>342.36950000000002</v>
      </c>
      <c r="E158" s="76"/>
      <c r="F158" s="76"/>
      <c r="G158" s="20"/>
      <c r="H158" s="20"/>
      <c r="J158" s="20"/>
      <c r="K158" s="112">
        <f>0.34*$E$14*1.1</f>
        <v>1058.2330000000002</v>
      </c>
      <c r="L158" s="22"/>
      <c r="M158" s="27"/>
      <c r="N158" s="24"/>
      <c r="O158" s="20"/>
      <c r="P158" s="20"/>
    </row>
    <row r="159" spans="1:16" s="21" customFormat="1" ht="24" thickBot="1" x14ac:dyDescent="0.4">
      <c r="A159" s="141"/>
      <c r="B159" s="315" t="s">
        <v>28</v>
      </c>
      <c r="C159" s="316"/>
      <c r="D159" s="76">
        <f>K160</f>
        <v>497.99200000000008</v>
      </c>
      <c r="E159" s="76"/>
      <c r="F159" s="76"/>
      <c r="G159" s="20"/>
      <c r="H159" s="20"/>
      <c r="J159" s="20"/>
      <c r="K159" s="112">
        <f>0.11*$E$14*1.1</f>
        <v>342.36950000000002</v>
      </c>
      <c r="L159" s="22"/>
      <c r="M159" s="27"/>
      <c r="N159" s="27"/>
      <c r="O159" s="20"/>
      <c r="P159" s="20"/>
    </row>
    <row r="160" spans="1:16" s="28" customFormat="1" ht="24" thickBot="1" x14ac:dyDescent="0.4">
      <c r="A160" s="141"/>
      <c r="B160" s="315" t="s">
        <v>29</v>
      </c>
      <c r="C160" s="316"/>
      <c r="D160" s="77">
        <f>D157+D158+D159</f>
        <v>7340.3615</v>
      </c>
      <c r="E160" s="77"/>
      <c r="F160" s="77"/>
      <c r="G160" s="20"/>
      <c r="H160" s="20"/>
      <c r="J160" s="20"/>
      <c r="K160" s="112">
        <f>0.16*$E$14*1.1</f>
        <v>497.99200000000008</v>
      </c>
      <c r="L160" s="22"/>
      <c r="M160" s="27"/>
      <c r="N160" s="27"/>
      <c r="O160" s="20"/>
      <c r="P160" s="20"/>
    </row>
    <row r="161" spans="1:16" s="28" customFormat="1" ht="28.5" x14ac:dyDescent="0.45">
      <c r="A161" s="141"/>
      <c r="B161" s="315" t="s">
        <v>30</v>
      </c>
      <c r="C161" s="316"/>
      <c r="D161" s="77">
        <v>0</v>
      </c>
      <c r="E161" s="77"/>
      <c r="F161" s="77"/>
      <c r="G161" s="20"/>
      <c r="H161" s="20"/>
      <c r="J161" s="20"/>
      <c r="K161" s="93"/>
      <c r="L161" s="22"/>
      <c r="M161" s="29"/>
      <c r="N161" s="22"/>
      <c r="O161" s="20"/>
      <c r="P161" s="20"/>
    </row>
    <row r="162" spans="1:16" s="28" customFormat="1" ht="29.25" thickBot="1" x14ac:dyDescent="0.5">
      <c r="A162" s="140" t="s">
        <v>112</v>
      </c>
      <c r="B162" s="317" t="s">
        <v>368</v>
      </c>
      <c r="C162" s="318"/>
      <c r="D162" s="78">
        <f>D166+D167</f>
        <v>0</v>
      </c>
      <c r="E162" s="78">
        <v>100</v>
      </c>
      <c r="F162" s="78">
        <f>D162/$E$13</f>
        <v>0</v>
      </c>
      <c r="G162" s="20"/>
      <c r="H162" s="20"/>
      <c r="J162" s="20"/>
      <c r="K162" s="93"/>
      <c r="L162" s="22"/>
      <c r="M162" s="29"/>
      <c r="N162" s="22"/>
      <c r="O162" s="20"/>
      <c r="P162" s="20"/>
    </row>
    <row r="163" spans="1:16" s="28" customFormat="1" ht="29.25" thickBot="1" x14ac:dyDescent="0.5">
      <c r="A163" s="141"/>
      <c r="B163" s="315" t="s">
        <v>37</v>
      </c>
      <c r="C163" s="316"/>
      <c r="D163" s="76">
        <v>0</v>
      </c>
      <c r="E163" s="76"/>
      <c r="F163" s="76"/>
      <c r="G163" s="20"/>
      <c r="H163" s="20"/>
      <c r="J163" s="20"/>
      <c r="K163" s="95">
        <f>D163</f>
        <v>0</v>
      </c>
      <c r="L163" s="22"/>
      <c r="M163" s="29"/>
      <c r="N163" s="22"/>
      <c r="O163" s="20"/>
      <c r="P163" s="20"/>
    </row>
    <row r="164" spans="1:16" s="28" customFormat="1" ht="29.25" thickBot="1" x14ac:dyDescent="0.5">
      <c r="A164" s="141"/>
      <c r="B164" s="315" t="s">
        <v>26</v>
      </c>
      <c r="C164" s="316"/>
      <c r="D164" s="76">
        <f>K165</f>
        <v>0</v>
      </c>
      <c r="E164" s="76"/>
      <c r="F164" s="76"/>
      <c r="G164" s="20"/>
      <c r="H164" s="20"/>
      <c r="J164" s="20"/>
      <c r="K164" s="99">
        <f>K163/0.82*0.18</f>
        <v>0</v>
      </c>
      <c r="L164" s="22"/>
      <c r="M164" s="29"/>
      <c r="N164" s="22"/>
      <c r="O164" s="20"/>
      <c r="P164" s="20"/>
    </row>
    <row r="165" spans="1:16" s="28" customFormat="1" ht="29.25" thickBot="1" x14ac:dyDescent="0.5">
      <c r="A165" s="141"/>
      <c r="B165" s="315" t="s">
        <v>28</v>
      </c>
      <c r="C165" s="316"/>
      <c r="D165" s="76">
        <f>K166</f>
        <v>0</v>
      </c>
      <c r="E165" s="76"/>
      <c r="F165" s="76"/>
      <c r="G165" s="20"/>
      <c r="H165" s="20"/>
      <c r="J165" s="20"/>
      <c r="K165" s="97">
        <f>K164/0.18*0.08</f>
        <v>0</v>
      </c>
      <c r="L165" s="22"/>
      <c r="M165" s="29"/>
      <c r="N165" s="22"/>
      <c r="O165" s="20"/>
      <c r="P165" s="20"/>
    </row>
    <row r="166" spans="1:16" s="28" customFormat="1" ht="29.25" thickBot="1" x14ac:dyDescent="0.5">
      <c r="A166" s="141"/>
      <c r="B166" s="315" t="s">
        <v>29</v>
      </c>
      <c r="C166" s="316"/>
      <c r="D166" s="77">
        <f>D163+D164+D165</f>
        <v>0</v>
      </c>
      <c r="E166" s="77"/>
      <c r="F166" s="77"/>
      <c r="G166" s="20"/>
      <c r="H166" s="20"/>
      <c r="J166" s="20"/>
      <c r="K166" s="100">
        <f>K164/0.18*0.1</f>
        <v>0</v>
      </c>
      <c r="L166" s="22"/>
      <c r="M166" s="29"/>
      <c r="N166" s="22"/>
      <c r="O166" s="20"/>
      <c r="P166" s="20"/>
    </row>
    <row r="167" spans="1:16" s="28" customFormat="1" ht="28.5" x14ac:dyDescent="0.45">
      <c r="A167" s="141"/>
      <c r="B167" s="315" t="s">
        <v>30</v>
      </c>
      <c r="C167" s="316"/>
      <c r="D167" s="77">
        <v>0</v>
      </c>
      <c r="E167" s="77"/>
      <c r="F167" s="77"/>
      <c r="G167" s="20"/>
      <c r="H167" s="20"/>
      <c r="J167" s="20"/>
      <c r="K167" s="93"/>
      <c r="L167" s="22"/>
      <c r="M167" s="29"/>
      <c r="N167" s="22"/>
      <c r="O167" s="20"/>
      <c r="P167" s="20"/>
    </row>
    <row r="168" spans="1:16" ht="24" customHeight="1" x14ac:dyDescent="0.35">
      <c r="A168" s="140"/>
      <c r="B168" s="317" t="s">
        <v>46</v>
      </c>
      <c r="C168" s="318"/>
      <c r="D168" s="75">
        <v>0</v>
      </c>
      <c r="E168" s="75">
        <v>100</v>
      </c>
      <c r="F168" s="75">
        <f>D168/($E$13)/1</f>
        <v>0</v>
      </c>
      <c r="G168" s="3"/>
    </row>
    <row r="169" spans="1:16" ht="24" thickBot="1" x14ac:dyDescent="0.4">
      <c r="A169" s="140" t="s">
        <v>113</v>
      </c>
      <c r="B169" s="317" t="s">
        <v>47</v>
      </c>
      <c r="C169" s="318"/>
      <c r="D169" s="75">
        <v>0</v>
      </c>
      <c r="E169" s="75">
        <v>100</v>
      </c>
      <c r="F169" s="75">
        <f>D169/$E$13/1</f>
        <v>0</v>
      </c>
    </row>
    <row r="170" spans="1:16" s="21" customFormat="1" ht="27" customHeight="1" thickBot="1" x14ac:dyDescent="0.4">
      <c r="A170" s="141"/>
      <c r="B170" s="315" t="s">
        <v>186</v>
      </c>
      <c r="C170" s="316"/>
      <c r="D170" s="76">
        <v>662626.18999999994</v>
      </c>
      <c r="E170" s="76"/>
      <c r="F170" s="76"/>
      <c r="G170" s="20"/>
      <c r="H170" s="20"/>
      <c r="J170" s="20"/>
      <c r="K170" s="105">
        <f>D170</f>
        <v>662626.18999999994</v>
      </c>
      <c r="L170" s="88"/>
      <c r="M170" s="27"/>
      <c r="N170" s="22"/>
      <c r="O170" s="20"/>
      <c r="P170" s="20"/>
    </row>
    <row r="171" spans="1:16" s="21" customFormat="1" ht="27" thickBot="1" x14ac:dyDescent="0.45">
      <c r="A171" s="141"/>
      <c r="B171" s="315" t="s">
        <v>27</v>
      </c>
      <c r="C171" s="316"/>
      <c r="D171" s="76">
        <f>K172</f>
        <v>53010.095199999967</v>
      </c>
      <c r="E171" s="76"/>
      <c r="F171" s="76"/>
      <c r="G171" s="20"/>
      <c r="H171" s="20"/>
      <c r="J171" s="20"/>
      <c r="K171" s="95">
        <f>K170*1.18</f>
        <v>781898.90419999987</v>
      </c>
      <c r="L171" s="22"/>
      <c r="M171" s="27"/>
      <c r="N171" s="24"/>
      <c r="O171" s="20"/>
      <c r="P171" s="20"/>
    </row>
    <row r="172" spans="1:16" s="21" customFormat="1" ht="24" thickBot="1" x14ac:dyDescent="0.4">
      <c r="A172" s="141"/>
      <c r="B172" s="315" t="s">
        <v>28</v>
      </c>
      <c r="C172" s="316"/>
      <c r="D172" s="76">
        <f>K173</f>
        <v>66262.618999999962</v>
      </c>
      <c r="E172" s="76"/>
      <c r="F172" s="76"/>
      <c r="G172" s="20"/>
      <c r="H172" s="20"/>
      <c r="J172" s="20"/>
      <c r="K172" s="105">
        <f>(K171-K170)/18*8</f>
        <v>53010.095199999967</v>
      </c>
      <c r="L172" s="88"/>
      <c r="M172" s="27"/>
      <c r="N172" s="27"/>
      <c r="O172" s="20"/>
      <c r="P172" s="20"/>
    </row>
    <row r="173" spans="1:16" s="28" customFormat="1" ht="24" thickBot="1" x14ac:dyDescent="0.4">
      <c r="A173" s="141"/>
      <c r="B173" s="315" t="s">
        <v>29</v>
      </c>
      <c r="C173" s="316"/>
      <c r="D173" s="77">
        <f>D170+D171+D172</f>
        <v>781898.90419999987</v>
      </c>
      <c r="E173" s="77"/>
      <c r="F173" s="77"/>
      <c r="G173" s="20"/>
      <c r="H173" s="20"/>
      <c r="J173" s="20"/>
      <c r="K173" s="95">
        <f>(K171-K170)/18*10</f>
        <v>66262.618999999962</v>
      </c>
      <c r="L173" s="22"/>
      <c r="M173" s="27"/>
      <c r="N173" s="27"/>
      <c r="O173" s="20"/>
      <c r="P173" s="20"/>
    </row>
    <row r="174" spans="1:16" s="28" customFormat="1" ht="28.5" x14ac:dyDescent="0.45">
      <c r="A174" s="141"/>
      <c r="B174" s="315" t="s">
        <v>30</v>
      </c>
      <c r="C174" s="316"/>
      <c r="D174" s="77">
        <v>0</v>
      </c>
      <c r="E174" s="77"/>
      <c r="F174" s="77"/>
      <c r="G174" s="20"/>
      <c r="H174" s="20"/>
      <c r="J174" s="20"/>
      <c r="K174" s="111"/>
      <c r="L174" s="22"/>
      <c r="M174" s="29"/>
      <c r="N174" s="22"/>
      <c r="O174" s="20"/>
      <c r="P174" s="20"/>
    </row>
    <row r="175" spans="1:16" ht="37.5" customHeight="1" x14ac:dyDescent="0.35">
      <c r="A175" s="141"/>
      <c r="B175" s="311" t="s">
        <v>48</v>
      </c>
      <c r="C175" s="312"/>
      <c r="D175" s="83">
        <f>D134+D135+D145+D156+D168+D169+D151+D162</f>
        <v>81875.718762039425</v>
      </c>
      <c r="E175" s="83">
        <v>100</v>
      </c>
      <c r="F175" s="83">
        <f>F134+F135+F145+F151+F156+F162+F168+F169</f>
        <v>28.140821021494904</v>
      </c>
      <c r="G175" s="3"/>
    </row>
    <row r="176" spans="1:16" s="28" customFormat="1" ht="12.75" customHeight="1" x14ac:dyDescent="0.35">
      <c r="A176" s="142"/>
      <c r="B176" s="20"/>
      <c r="C176" s="20"/>
      <c r="D176" s="38"/>
      <c r="E176" s="20"/>
      <c r="F176" s="20"/>
      <c r="G176" s="20"/>
      <c r="H176" s="20"/>
      <c r="J176" s="20"/>
      <c r="K176" s="93"/>
      <c r="L176" s="22"/>
      <c r="M176" s="22"/>
      <c r="N176" s="22"/>
      <c r="O176" s="20"/>
      <c r="P176" s="20"/>
    </row>
    <row r="177" spans="1:17" s="28" customFormat="1" ht="29.25" customHeight="1" x14ac:dyDescent="0.35">
      <c r="A177" s="143"/>
      <c r="B177" s="330" t="s">
        <v>180</v>
      </c>
      <c r="C177" s="331"/>
      <c r="D177" s="332"/>
      <c r="E177" s="121"/>
      <c r="F177" s="20"/>
      <c r="G177" s="20"/>
      <c r="H177" s="20"/>
      <c r="I177" s="20"/>
      <c r="K177" s="20"/>
      <c r="L177" s="93"/>
      <c r="M177" s="22"/>
      <c r="N177" s="22"/>
      <c r="O177" s="22"/>
      <c r="P177" s="20"/>
      <c r="Q177" s="20"/>
    </row>
    <row r="178" spans="1:17" s="28" customFormat="1" ht="28.5" customHeight="1" x14ac:dyDescent="0.35">
      <c r="A178" s="142"/>
      <c r="B178" s="313" t="s">
        <v>175</v>
      </c>
      <c r="C178" s="314"/>
      <c r="D178" s="84">
        <f>D28-D25-D26-D27+D48-D46-D47+D59-D56-D57-D58+D71-D68-D69-D70+D102-D99-D100-D101+D113-D110-D111-D112+D120-D118-D119+D126-D124-D125+D132-D130-D131+D143-D141-D142+D149-D147-D148+D160-D158-D159+D168+D173-D171-D172+D35-D32-D33-D34+D42-D39-D40-D41+D81-D78-D79-D80+D88-D87-D86-D85+D95-D94-D93-D92+D154-D153</f>
        <v>720933.74847571424</v>
      </c>
      <c r="E178" s="20"/>
      <c r="F178" s="20"/>
      <c r="G178" s="20"/>
      <c r="H178" s="20"/>
      <c r="J178" s="20"/>
      <c r="K178" s="93"/>
      <c r="L178" s="22"/>
      <c r="M178" s="22"/>
      <c r="N178" s="22"/>
      <c r="O178" s="20"/>
      <c r="P178" s="20"/>
    </row>
    <row r="179" spans="1:17" s="28" customFormat="1" ht="28.5" customHeight="1" x14ac:dyDescent="0.35">
      <c r="A179" s="142"/>
      <c r="B179" s="313" t="s">
        <v>176</v>
      </c>
      <c r="C179" s="314"/>
      <c r="D179" s="84">
        <f>D25+D56+D68+D99+D110++D141+D147+D158+D32+D39+D78+D85+D92</f>
        <v>10011.291901863353</v>
      </c>
      <c r="E179" s="20"/>
      <c r="F179" s="20"/>
      <c r="G179" s="20"/>
      <c r="H179" s="20"/>
      <c r="J179" s="20"/>
      <c r="K179" s="93"/>
      <c r="L179" s="22"/>
      <c r="M179" s="22"/>
      <c r="N179" s="22"/>
      <c r="O179" s="20"/>
      <c r="P179" s="20"/>
    </row>
    <row r="180" spans="1:17" s="28" customFormat="1" ht="28.5" customHeight="1" x14ac:dyDescent="0.35">
      <c r="A180" s="142"/>
      <c r="B180" s="313" t="s">
        <v>177</v>
      </c>
      <c r="C180" s="314"/>
      <c r="D180" s="84">
        <f>D27+D47+D58+D70+D101+D112+D119+D125+D131+D142+D148+D159+D172+D34+D41+D80+D87+D94+D153</f>
        <v>74214.146726203908</v>
      </c>
      <c r="E180" s="20"/>
      <c r="F180" s="20"/>
      <c r="G180" s="20"/>
      <c r="H180" s="20"/>
      <c r="J180" s="20"/>
      <c r="K180" s="93"/>
      <c r="L180" s="22"/>
      <c r="M180" s="22"/>
      <c r="N180" s="22"/>
      <c r="O180" s="20"/>
      <c r="P180" s="20"/>
    </row>
    <row r="181" spans="1:17" s="28" customFormat="1" ht="28.5" customHeight="1" x14ac:dyDescent="0.35">
      <c r="A181" s="142"/>
      <c r="B181" s="313" t="s">
        <v>178</v>
      </c>
      <c r="C181" s="314"/>
      <c r="D181" s="84">
        <f>D26+D46+D57+D69+D100+D111+D118+D124+D130++D171+D33+D40+D79+D86+D93</f>
        <v>58615.435858257806</v>
      </c>
      <c r="E181" s="20"/>
      <c r="F181" s="20"/>
      <c r="G181" s="20"/>
      <c r="H181" s="20"/>
      <c r="J181" s="20"/>
      <c r="K181" s="93"/>
      <c r="L181" s="22"/>
      <c r="M181" s="22"/>
      <c r="N181" s="22"/>
      <c r="O181" s="20"/>
      <c r="P181" s="20"/>
    </row>
    <row r="182" spans="1:17" s="28" customFormat="1" ht="28.5" customHeight="1" x14ac:dyDescent="0.35">
      <c r="A182" s="142"/>
      <c r="B182" s="20"/>
      <c r="C182" s="20"/>
      <c r="D182" s="38"/>
      <c r="E182" s="20"/>
      <c r="F182" s="20"/>
      <c r="G182" s="20"/>
      <c r="H182" s="20"/>
      <c r="J182" s="20"/>
      <c r="K182" s="93"/>
      <c r="L182" s="22"/>
      <c r="M182" s="22"/>
      <c r="N182" s="22"/>
      <c r="O182" s="20"/>
      <c r="P182" s="20"/>
    </row>
    <row r="183" spans="1:17" s="39" customFormat="1" ht="36" x14ac:dyDescent="0.55000000000000004">
      <c r="A183" s="157"/>
      <c r="K183" s="113"/>
      <c r="L183" s="40"/>
      <c r="M183" s="40"/>
      <c r="N183" s="40"/>
    </row>
    <row r="185" spans="1:17" s="3" customFormat="1" x14ac:dyDescent="0.35">
      <c r="A185" s="139"/>
      <c r="B185" s="6" t="s">
        <v>49</v>
      </c>
      <c r="C185" s="127"/>
      <c r="D185" s="6" t="s">
        <v>50</v>
      </c>
      <c r="E185" s="344" t="s">
        <v>51</v>
      </c>
      <c r="F185" s="344"/>
      <c r="K185" s="92"/>
      <c r="L185" s="18"/>
      <c r="M185" s="18"/>
      <c r="N185" s="18"/>
    </row>
    <row r="186" spans="1:17" s="3" customFormat="1" ht="39.75" customHeight="1" x14ac:dyDescent="0.35">
      <c r="A186" s="139"/>
      <c r="B186" s="6" t="s">
        <v>52</v>
      </c>
      <c r="C186" s="127"/>
      <c r="D186" s="6" t="s">
        <v>53</v>
      </c>
      <c r="E186" s="344" t="s">
        <v>54</v>
      </c>
      <c r="F186" s="344"/>
      <c r="K186" s="92"/>
      <c r="L186" s="18"/>
      <c r="M186" s="18"/>
      <c r="N186" s="18"/>
    </row>
    <row r="187" spans="1:17" s="3" customFormat="1" ht="39.75" customHeight="1" x14ac:dyDescent="0.35">
      <c r="A187" s="139"/>
      <c r="B187" s="6" t="s">
        <v>52</v>
      </c>
      <c r="C187" s="127"/>
      <c r="D187" s="6" t="s">
        <v>53</v>
      </c>
      <c r="E187" s="344" t="s">
        <v>54</v>
      </c>
      <c r="F187" s="344"/>
      <c r="K187" s="92"/>
      <c r="L187" s="18"/>
      <c r="M187" s="18"/>
      <c r="N187" s="18"/>
    </row>
    <row r="188" spans="1:17" s="3" customFormat="1" ht="39.75" customHeight="1" x14ac:dyDescent="0.35">
      <c r="A188" s="139"/>
      <c r="B188" s="6" t="s">
        <v>52</v>
      </c>
      <c r="C188" s="127"/>
      <c r="D188" s="6" t="s">
        <v>53</v>
      </c>
      <c r="E188" s="344" t="s">
        <v>54</v>
      </c>
      <c r="F188" s="344"/>
      <c r="K188" s="92"/>
      <c r="L188" s="18"/>
      <c r="M188" s="18"/>
      <c r="N188" s="18"/>
    </row>
    <row r="189" spans="1:17" s="3" customFormat="1" ht="39.75" customHeight="1" x14ac:dyDescent="0.35">
      <c r="A189" s="139"/>
      <c r="B189" s="6" t="s">
        <v>52</v>
      </c>
      <c r="C189" s="127"/>
      <c r="D189" s="6" t="s">
        <v>53</v>
      </c>
      <c r="E189" s="344" t="s">
        <v>54</v>
      </c>
      <c r="F189" s="344"/>
      <c r="K189" s="92"/>
      <c r="L189" s="18"/>
      <c r="M189" s="18"/>
      <c r="N189" s="18"/>
    </row>
    <row r="190" spans="1:17" s="3" customFormat="1" ht="39.75" customHeight="1" x14ac:dyDescent="0.35">
      <c r="A190" s="139"/>
      <c r="B190" s="6" t="s">
        <v>52</v>
      </c>
      <c r="C190" s="127"/>
      <c r="D190" s="6" t="s">
        <v>53</v>
      </c>
      <c r="E190" s="344" t="s">
        <v>54</v>
      </c>
      <c r="F190" s="344"/>
      <c r="K190" s="92"/>
      <c r="L190" s="18"/>
      <c r="M190" s="18"/>
      <c r="N190" s="18"/>
    </row>
    <row r="191" spans="1:17" s="3" customFormat="1" ht="39.75" customHeight="1" x14ac:dyDescent="0.35">
      <c r="A191" s="139"/>
      <c r="B191" s="6" t="s">
        <v>52</v>
      </c>
      <c r="C191" s="127"/>
      <c r="D191" s="6" t="s">
        <v>53</v>
      </c>
      <c r="E191" s="344" t="s">
        <v>54</v>
      </c>
      <c r="F191" s="344"/>
      <c r="K191" s="92"/>
      <c r="L191" s="18"/>
      <c r="M191" s="18"/>
      <c r="N191" s="18"/>
    </row>
    <row r="192" spans="1:17" s="3" customFormat="1" ht="39.75" customHeight="1" x14ac:dyDescent="0.35">
      <c r="A192" s="139"/>
      <c r="B192" s="6" t="s">
        <v>52</v>
      </c>
      <c r="C192" s="127"/>
      <c r="D192" s="6" t="s">
        <v>53</v>
      </c>
      <c r="E192" s="344" t="s">
        <v>54</v>
      </c>
      <c r="F192" s="344"/>
      <c r="K192" s="92"/>
      <c r="L192" s="18"/>
      <c r="M192" s="18"/>
      <c r="N192" s="18"/>
    </row>
    <row r="193" spans="1:14" s="3" customFormat="1" ht="39.75" customHeight="1" x14ac:dyDescent="0.35">
      <c r="A193" s="139"/>
      <c r="B193" s="6" t="s">
        <v>52</v>
      </c>
      <c r="C193" s="127"/>
      <c r="D193" s="6" t="s">
        <v>53</v>
      </c>
      <c r="E193" s="344" t="s">
        <v>54</v>
      </c>
      <c r="F193" s="344"/>
      <c r="K193" s="92"/>
      <c r="L193" s="18"/>
      <c r="M193" s="18"/>
      <c r="N193" s="18"/>
    </row>
    <row r="194" spans="1:14" s="3" customFormat="1" ht="39.75" customHeight="1" x14ac:dyDescent="0.35">
      <c r="A194" s="139"/>
      <c r="B194" s="6" t="s">
        <v>52</v>
      </c>
      <c r="C194" s="127"/>
      <c r="D194" s="6" t="s">
        <v>53</v>
      </c>
      <c r="E194" s="344" t="s">
        <v>54</v>
      </c>
      <c r="F194" s="344"/>
      <c r="K194" s="92"/>
      <c r="L194" s="18"/>
      <c r="M194" s="18"/>
      <c r="N194" s="18"/>
    </row>
    <row r="195" spans="1:14" s="3" customFormat="1" ht="39.75" customHeight="1" x14ac:dyDescent="0.35">
      <c r="A195" s="139"/>
      <c r="B195" s="6" t="s">
        <v>52</v>
      </c>
      <c r="C195" s="127"/>
      <c r="D195" s="6" t="s">
        <v>53</v>
      </c>
      <c r="E195" s="344" t="s">
        <v>54</v>
      </c>
      <c r="F195" s="344"/>
      <c r="K195" s="92"/>
      <c r="L195" s="18"/>
      <c r="M195" s="18"/>
      <c r="N195" s="18"/>
    </row>
    <row r="196" spans="1:14" s="3" customFormat="1" x14ac:dyDescent="0.35">
      <c r="A196" s="139"/>
      <c r="K196" s="92"/>
      <c r="L196" s="18"/>
      <c r="M196" s="18"/>
      <c r="N196" s="18"/>
    </row>
    <row r="197" spans="1:14" s="3" customFormat="1" ht="24" thickBot="1" x14ac:dyDescent="0.4">
      <c r="A197" s="139"/>
      <c r="K197" s="92"/>
      <c r="L197" s="18"/>
      <c r="M197" s="18"/>
      <c r="N197" s="18"/>
    </row>
    <row r="198" spans="1:14" s="41" customFormat="1" ht="24" thickBot="1" x14ac:dyDescent="0.4">
      <c r="A198" s="139"/>
      <c r="B198" s="304" t="s">
        <v>55</v>
      </c>
      <c r="C198" s="305"/>
      <c r="D198" s="72" t="s">
        <v>174</v>
      </c>
      <c r="E198" s="72" t="s">
        <v>213</v>
      </c>
      <c r="F198" s="72" t="s">
        <v>56</v>
      </c>
      <c r="K198" s="92"/>
      <c r="L198" s="42"/>
      <c r="M198" s="42"/>
      <c r="N198" s="42"/>
    </row>
    <row r="199" spans="1:14" s="41" customFormat="1" ht="24" thickBot="1" x14ac:dyDescent="0.4">
      <c r="A199" s="139"/>
      <c r="B199" s="304" t="s">
        <v>57</v>
      </c>
      <c r="C199" s="305"/>
      <c r="D199" s="66">
        <v>16.86</v>
      </c>
      <c r="E199" s="66">
        <f>F134</f>
        <v>24.082061601039008</v>
      </c>
      <c r="F199" s="67">
        <f>E199/D199-100%</f>
        <v>0.42835478060729582</v>
      </c>
      <c r="K199" s="92"/>
      <c r="L199" s="42"/>
      <c r="M199" s="42"/>
      <c r="N199" s="42"/>
    </row>
    <row r="200" spans="1:14" s="41" customFormat="1" ht="24" thickBot="1" x14ac:dyDescent="0.4">
      <c r="A200" s="139"/>
      <c r="B200" s="304" t="s">
        <v>43</v>
      </c>
      <c r="C200" s="305"/>
      <c r="D200" s="66">
        <v>2.52</v>
      </c>
      <c r="E200" s="66">
        <f>F135</f>
        <v>0</v>
      </c>
      <c r="F200" s="67">
        <f t="shared" ref="F200:F206" si="13">E200/D200-100%</f>
        <v>-1</v>
      </c>
      <c r="K200" s="92"/>
      <c r="L200" s="42"/>
      <c r="M200" s="42"/>
      <c r="N200" s="42"/>
    </row>
    <row r="201" spans="1:14" s="34" customFormat="1" ht="24" thickBot="1" x14ac:dyDescent="0.4">
      <c r="A201" s="142"/>
      <c r="B201" s="309" t="s">
        <v>44</v>
      </c>
      <c r="C201" s="310"/>
      <c r="D201" s="68">
        <v>0.91</v>
      </c>
      <c r="E201" s="68">
        <f>F145</f>
        <v>1.5358649368676489</v>
      </c>
      <c r="F201" s="67">
        <f t="shared" si="13"/>
        <v>0.68776366688752621</v>
      </c>
      <c r="K201" s="93"/>
      <c r="L201" s="36"/>
      <c r="M201" s="36"/>
      <c r="N201" s="36"/>
    </row>
    <row r="202" spans="1:14" s="34" customFormat="1" ht="24" thickBot="1" x14ac:dyDescent="0.4">
      <c r="A202" s="142"/>
      <c r="B202" s="309" t="s">
        <v>280</v>
      </c>
      <c r="C202" s="310"/>
      <c r="D202" s="68">
        <v>0</v>
      </c>
      <c r="E202" s="68">
        <f>F151</f>
        <v>0</v>
      </c>
      <c r="F202" s="67" t="e">
        <f t="shared" ref="F202" si="14">E202/D202-100%</f>
        <v>#DIV/0!</v>
      </c>
      <c r="K202" s="93"/>
      <c r="L202" s="36"/>
      <c r="M202" s="36"/>
      <c r="N202" s="36"/>
    </row>
    <row r="203" spans="1:14" s="34" customFormat="1" ht="24" thickBot="1" x14ac:dyDescent="0.4">
      <c r="A203" s="142"/>
      <c r="B203" s="309" t="s">
        <v>45</v>
      </c>
      <c r="C203" s="310"/>
      <c r="D203" s="68">
        <v>1.92</v>
      </c>
      <c r="E203" s="68">
        <f>F156</f>
        <v>2.5228944835882454</v>
      </c>
      <c r="F203" s="67">
        <f t="shared" si="13"/>
        <v>0.3140075435355445</v>
      </c>
      <c r="K203" s="93"/>
      <c r="L203" s="36"/>
      <c r="M203" s="36"/>
      <c r="N203" s="36"/>
    </row>
    <row r="204" spans="1:14" s="34" customFormat="1" ht="24" thickBot="1" x14ac:dyDescent="0.4">
      <c r="A204" s="142"/>
      <c r="B204" s="309" t="s">
        <v>46</v>
      </c>
      <c r="C204" s="310"/>
      <c r="D204" s="68">
        <v>0</v>
      </c>
      <c r="E204" s="68">
        <f>F168</f>
        <v>0</v>
      </c>
      <c r="F204" s="67" t="e">
        <f t="shared" si="13"/>
        <v>#DIV/0!</v>
      </c>
      <c r="K204" s="93"/>
      <c r="L204" s="36"/>
      <c r="M204" s="36"/>
      <c r="N204" s="36"/>
    </row>
    <row r="205" spans="1:14" s="34" customFormat="1" ht="24" thickBot="1" x14ac:dyDescent="0.4">
      <c r="A205" s="142"/>
      <c r="B205" s="309" t="s">
        <v>47</v>
      </c>
      <c r="C205" s="310"/>
      <c r="D205" s="68">
        <v>0</v>
      </c>
      <c r="E205" s="68">
        <f>F169</f>
        <v>0</v>
      </c>
      <c r="F205" s="67" t="e">
        <f t="shared" si="13"/>
        <v>#DIV/0!</v>
      </c>
      <c r="K205" s="93"/>
      <c r="L205" s="36"/>
      <c r="M205" s="36"/>
      <c r="N205" s="36"/>
    </row>
    <row r="206" spans="1:14" s="41" customFormat="1" ht="24" thickBot="1" x14ac:dyDescent="0.4">
      <c r="A206" s="139"/>
      <c r="B206" s="304" t="s">
        <v>58</v>
      </c>
      <c r="C206" s="305"/>
      <c r="D206" s="66">
        <f>SUM(D199:D205)</f>
        <v>22.21</v>
      </c>
      <c r="E206" s="66">
        <f>SUM(E199:E205)</f>
        <v>28.140821021494904</v>
      </c>
      <c r="F206" s="69">
        <f t="shared" si="13"/>
        <v>0.26703381456528152</v>
      </c>
      <c r="K206" s="92"/>
      <c r="L206" s="42"/>
      <c r="M206" s="42"/>
      <c r="N206" s="42"/>
    </row>
    <row r="207" spans="1:14" ht="24" thickBot="1" x14ac:dyDescent="0.4">
      <c r="D207" s="73"/>
      <c r="E207" s="73"/>
      <c r="F207" s="73"/>
    </row>
    <row r="208" spans="1:14" s="41" customFormat="1" ht="24" thickBot="1" x14ac:dyDescent="0.4">
      <c r="A208" s="139"/>
      <c r="B208" s="304" t="s">
        <v>59</v>
      </c>
      <c r="C208" s="305"/>
      <c r="D208" s="72" t="s">
        <v>174</v>
      </c>
      <c r="E208" s="72" t="s">
        <v>213</v>
      </c>
      <c r="F208" s="72" t="s">
        <v>60</v>
      </c>
      <c r="K208" s="92"/>
      <c r="L208" s="42"/>
      <c r="M208" s="42"/>
      <c r="N208" s="42"/>
    </row>
    <row r="209" spans="1:14" ht="24" thickBot="1" x14ac:dyDescent="0.4">
      <c r="B209" s="304">
        <v>30</v>
      </c>
      <c r="C209" s="305"/>
      <c r="D209" s="70">
        <f>B209*$D$206</f>
        <v>666.30000000000007</v>
      </c>
      <c r="E209" s="70">
        <f>B209*$E$206</f>
        <v>844.22463064484714</v>
      </c>
      <c r="F209" s="74">
        <f>E209-D209</f>
        <v>177.92463064484707</v>
      </c>
    </row>
    <row r="210" spans="1:14" ht="24" thickBot="1" x14ac:dyDescent="0.4">
      <c r="B210" s="304">
        <v>42</v>
      </c>
      <c r="C210" s="305"/>
      <c r="D210" s="70">
        <f>B210*$D$206</f>
        <v>932.82</v>
      </c>
      <c r="E210" s="70">
        <f>B210*$E$206</f>
        <v>1181.9144829027859</v>
      </c>
      <c r="F210" s="74">
        <f>E210-D210</f>
        <v>249.0944829027859</v>
      </c>
    </row>
    <row r="211" spans="1:14" ht="24" thickBot="1" x14ac:dyDescent="0.4">
      <c r="B211" s="304">
        <v>60</v>
      </c>
      <c r="C211" s="305"/>
      <c r="D211" s="70">
        <f>B211*$D$206</f>
        <v>1332.6000000000001</v>
      </c>
      <c r="E211" s="70">
        <f>B211*$E$206</f>
        <v>1688.4492612896943</v>
      </c>
      <c r="F211" s="74">
        <f>E211-D211</f>
        <v>355.84926128969414</v>
      </c>
    </row>
    <row r="213" spans="1:14" ht="24" thickBot="1" x14ac:dyDescent="0.4"/>
    <row r="214" spans="1:14" s="3" customFormat="1" ht="24" thickBot="1" x14ac:dyDescent="0.4">
      <c r="A214" s="139"/>
      <c r="B214" s="304" t="s">
        <v>61</v>
      </c>
      <c r="C214" s="329"/>
      <c r="D214" s="305"/>
      <c r="E214" s="43"/>
      <c r="F214" s="43"/>
      <c r="K214" s="92"/>
      <c r="L214" s="18"/>
      <c r="M214" s="18"/>
      <c r="N214" s="18"/>
    </row>
    <row r="215" spans="1:14" s="3" customFormat="1" ht="24" thickBot="1" x14ac:dyDescent="0.4">
      <c r="A215" s="139"/>
      <c r="B215" s="304" t="s">
        <v>62</v>
      </c>
      <c r="C215" s="305"/>
      <c r="D215" s="87">
        <f>D18/1.15</f>
        <v>6260.8695652173919</v>
      </c>
      <c r="E215" s="43"/>
      <c r="F215" s="43"/>
      <c r="K215" s="92"/>
      <c r="L215" s="18"/>
      <c r="M215" s="18"/>
      <c r="N215" s="18"/>
    </row>
    <row r="216" spans="1:14" s="3" customFormat="1" ht="24" thickBot="1" x14ac:dyDescent="0.4">
      <c r="A216" s="139"/>
      <c r="B216" s="304" t="s">
        <v>63</v>
      </c>
      <c r="C216" s="305"/>
      <c r="D216" s="87">
        <f>D51/1.15</f>
        <v>5895.652173913044</v>
      </c>
      <c r="K216" s="92"/>
      <c r="L216" s="18"/>
      <c r="M216" s="18"/>
      <c r="N216" s="18"/>
    </row>
    <row r="217" spans="1:14" s="3" customFormat="1" ht="24" thickBot="1" x14ac:dyDescent="0.4">
      <c r="A217" s="139"/>
      <c r="B217" s="304" t="s">
        <v>64</v>
      </c>
      <c r="C217" s="305"/>
      <c r="D217" s="87">
        <f>D62/1.15</f>
        <v>7852.1739130434789</v>
      </c>
      <c r="K217" s="92"/>
      <c r="L217" s="18"/>
      <c r="M217" s="18"/>
      <c r="N217" s="18"/>
    </row>
    <row r="218" spans="1:14" s="41" customFormat="1" ht="24" thickBot="1" x14ac:dyDescent="0.4">
      <c r="A218" s="139"/>
      <c r="B218" s="304" t="s">
        <v>65</v>
      </c>
      <c r="C218" s="305"/>
      <c r="D218" s="87">
        <f>D105/1.15</f>
        <v>869.56521739130437</v>
      </c>
      <c r="K218" s="92"/>
      <c r="L218" s="42"/>
      <c r="M218" s="42"/>
      <c r="N218" s="42"/>
    </row>
    <row r="219" spans="1:14" s="41" customFormat="1" ht="24" thickBot="1" x14ac:dyDescent="0.4">
      <c r="A219" s="139"/>
      <c r="B219" s="304" t="s">
        <v>179</v>
      </c>
      <c r="C219" s="305"/>
      <c r="D219" s="87" t="e">
        <f>#REF!/1.15</f>
        <v>#REF!</v>
      </c>
      <c r="K219" s="92"/>
      <c r="L219" s="42"/>
      <c r="M219" s="42"/>
      <c r="N219" s="42"/>
    </row>
    <row r="220" spans="1:14" s="41" customFormat="1" ht="24" thickBot="1" x14ac:dyDescent="0.4">
      <c r="A220" s="139"/>
      <c r="B220" s="304" t="s">
        <v>66</v>
      </c>
      <c r="C220" s="305"/>
      <c r="D220" s="87">
        <f>D136/1.15</f>
        <v>0</v>
      </c>
      <c r="K220" s="92"/>
      <c r="L220" s="42"/>
      <c r="M220" s="42"/>
      <c r="N220" s="42"/>
    </row>
    <row r="221" spans="1:14" s="41" customFormat="1" x14ac:dyDescent="0.35">
      <c r="A221" s="139"/>
      <c r="B221" s="44"/>
      <c r="C221" s="44"/>
      <c r="D221" s="45"/>
      <c r="K221" s="92"/>
      <c r="L221" s="42"/>
      <c r="M221" s="42"/>
      <c r="N221" s="42"/>
    </row>
    <row r="222" spans="1:14" s="41" customFormat="1" ht="24" thickBot="1" x14ac:dyDescent="0.4">
      <c r="A222" s="139"/>
      <c r="B222" s="46"/>
      <c r="C222" s="46"/>
      <c r="K222" s="92"/>
      <c r="L222" s="42"/>
      <c r="M222" s="42"/>
      <c r="N222" s="42"/>
    </row>
    <row r="223" spans="1:14" s="41" customFormat="1" ht="80.25" customHeight="1" thickBot="1" x14ac:dyDescent="0.4">
      <c r="A223" s="139"/>
      <c r="B223" s="302" t="s">
        <v>67</v>
      </c>
      <c r="C223" s="303"/>
      <c r="D223" s="71" t="s">
        <v>181</v>
      </c>
      <c r="E223" s="71" t="s">
        <v>214</v>
      </c>
      <c r="F223" s="125" t="s">
        <v>277</v>
      </c>
      <c r="G223" s="123"/>
      <c r="K223" s="92"/>
      <c r="L223" s="42"/>
      <c r="M223" s="42"/>
      <c r="N223" s="42"/>
    </row>
    <row r="224" spans="1:14" s="41" customFormat="1" ht="24" thickBot="1" x14ac:dyDescent="0.4">
      <c r="A224" s="139"/>
      <c r="B224" s="304" t="s">
        <v>127</v>
      </c>
      <c r="C224" s="305"/>
      <c r="D224" s="87">
        <v>9050</v>
      </c>
      <c r="E224" s="87">
        <f>D224*1.04</f>
        <v>9412</v>
      </c>
      <c r="F224" s="122" t="s">
        <v>212</v>
      </c>
      <c r="G224" s="124"/>
      <c r="K224" s="92"/>
      <c r="L224" s="42"/>
      <c r="M224" s="42"/>
      <c r="N224" s="42"/>
    </row>
    <row r="225" spans="1:14" s="41" customFormat="1" x14ac:dyDescent="0.35">
      <c r="A225" s="139"/>
      <c r="B225" s="46"/>
      <c r="C225" s="46"/>
      <c r="K225" s="92"/>
      <c r="L225" s="42"/>
      <c r="M225" s="42"/>
      <c r="N225" s="42"/>
    </row>
    <row r="226" spans="1:14" s="41" customFormat="1" x14ac:dyDescent="0.35">
      <c r="A226" s="139"/>
      <c r="K226" s="92"/>
      <c r="L226" s="42"/>
      <c r="M226" s="42"/>
      <c r="N226" s="42"/>
    </row>
    <row r="236" spans="1:14" s="41" customFormat="1" x14ac:dyDescent="0.35">
      <c r="A236" s="139"/>
      <c r="K236" s="92"/>
      <c r="L236" s="42"/>
      <c r="M236" s="42"/>
      <c r="N236" s="42"/>
    </row>
    <row r="237" spans="1:14" s="41" customFormat="1" x14ac:dyDescent="0.35">
      <c r="A237" s="139"/>
      <c r="K237" s="92"/>
      <c r="L237" s="42"/>
      <c r="M237" s="42"/>
      <c r="N237" s="42"/>
    </row>
  </sheetData>
  <mergeCells count="233">
    <mergeCell ref="B202:C202"/>
    <mergeCell ref="M123:N123"/>
    <mergeCell ref="G97:H97"/>
    <mergeCell ref="G98:H98"/>
    <mergeCell ref="G8:G16"/>
    <mergeCell ref="H8:H16"/>
    <mergeCell ref="M116:N116"/>
    <mergeCell ref="M117:N117"/>
    <mergeCell ref="M118:N118"/>
    <mergeCell ref="M119:N119"/>
    <mergeCell ref="M120:N120"/>
    <mergeCell ref="M122:N122"/>
    <mergeCell ref="E194:F194"/>
    <mergeCell ref="E195:F195"/>
    <mergeCell ref="E187:F187"/>
    <mergeCell ref="M124:N124"/>
    <mergeCell ref="M125:N125"/>
    <mergeCell ref="M126:N126"/>
    <mergeCell ref="E188:F188"/>
    <mergeCell ref="E189:F189"/>
    <mergeCell ref="E190:F190"/>
    <mergeCell ref="E191:F191"/>
    <mergeCell ref="E192:F192"/>
    <mergeCell ref="E193:F193"/>
    <mergeCell ref="P98:Q98"/>
    <mergeCell ref="R98:S98"/>
    <mergeCell ref="N97:O97"/>
    <mergeCell ref="P97:Q97"/>
    <mergeCell ref="R97:S97"/>
    <mergeCell ref="N98:O98"/>
    <mergeCell ref="K2:L7"/>
    <mergeCell ref="K8:L8"/>
    <mergeCell ref="G1:H1"/>
    <mergeCell ref="A6:F6"/>
    <mergeCell ref="D8:F8"/>
    <mergeCell ref="D9:F9"/>
    <mergeCell ref="E185:F185"/>
    <mergeCell ref="E186:F186"/>
    <mergeCell ref="A8:A16"/>
    <mergeCell ref="B21:C21"/>
    <mergeCell ref="B22:C22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1:C41"/>
    <mergeCell ref="B42:C42"/>
    <mergeCell ref="B43:C43"/>
    <mergeCell ref="B214:D214"/>
    <mergeCell ref="B177:D17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7:C37"/>
    <mergeCell ref="B38:C38"/>
    <mergeCell ref="B39:C39"/>
    <mergeCell ref="B45:C45"/>
    <mergeCell ref="B46:C46"/>
    <mergeCell ref="B47:C47"/>
    <mergeCell ref="B48:C48"/>
    <mergeCell ref="B49:C49"/>
    <mergeCell ref="B40:C40"/>
    <mergeCell ref="B44:C4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100:C100"/>
    <mergeCell ref="B87:C87"/>
    <mergeCell ref="B88:C88"/>
    <mergeCell ref="B89:C89"/>
    <mergeCell ref="B92:C92"/>
    <mergeCell ref="B93:C93"/>
    <mergeCell ref="B80:C80"/>
    <mergeCell ref="B81:C81"/>
    <mergeCell ref="B82:C82"/>
    <mergeCell ref="B85:C85"/>
    <mergeCell ref="B86:C86"/>
    <mergeCell ref="B112:C112"/>
    <mergeCell ref="B113:C113"/>
    <mergeCell ref="B114:C114"/>
    <mergeCell ref="B83:C83"/>
    <mergeCell ref="B84:C84"/>
    <mergeCell ref="B90:C90"/>
    <mergeCell ref="B91:C91"/>
    <mergeCell ref="B97:C97"/>
    <mergeCell ref="B98:C98"/>
    <mergeCell ref="B104:C104"/>
    <mergeCell ref="B105:C105"/>
    <mergeCell ref="B106:C106"/>
    <mergeCell ref="B107:C107"/>
    <mergeCell ref="B108:C108"/>
    <mergeCell ref="B109:C109"/>
    <mergeCell ref="B101:C101"/>
    <mergeCell ref="B102:C102"/>
    <mergeCell ref="B103:C103"/>
    <mergeCell ref="B110:C110"/>
    <mergeCell ref="B111:C111"/>
    <mergeCell ref="B94:C94"/>
    <mergeCell ref="B95:C95"/>
    <mergeCell ref="B96:C96"/>
    <mergeCell ref="B99:C99"/>
    <mergeCell ref="B120:C120"/>
    <mergeCell ref="B121:C121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2:C122"/>
    <mergeCell ref="B123:C123"/>
    <mergeCell ref="B127:C127"/>
    <mergeCell ref="B130:C130"/>
    <mergeCell ref="B131:C131"/>
    <mergeCell ref="B132:C132"/>
    <mergeCell ref="B133:C133"/>
    <mergeCell ref="B128:C128"/>
    <mergeCell ref="B129:C129"/>
    <mergeCell ref="B135:C135"/>
    <mergeCell ref="B136:C136"/>
    <mergeCell ref="B137:C137"/>
    <mergeCell ref="B148:C148"/>
    <mergeCell ref="B149:C149"/>
    <mergeCell ref="B150:C150"/>
    <mergeCell ref="B159:C159"/>
    <mergeCell ref="B134:C134"/>
    <mergeCell ref="B138:C138"/>
    <mergeCell ref="B139:C139"/>
    <mergeCell ref="B140:C140"/>
    <mergeCell ref="B143:C143"/>
    <mergeCell ref="B144:C144"/>
    <mergeCell ref="B145:C145"/>
    <mergeCell ref="B146:C146"/>
    <mergeCell ref="B147:C147"/>
    <mergeCell ref="B151:C151"/>
    <mergeCell ref="B152:C152"/>
    <mergeCell ref="B153:C153"/>
    <mergeCell ref="B178:C178"/>
    <mergeCell ref="B179:C179"/>
    <mergeCell ref="B180:C180"/>
    <mergeCell ref="B141:C141"/>
    <mergeCell ref="B142:C142"/>
    <mergeCell ref="B172:C172"/>
    <mergeCell ref="B173:C173"/>
    <mergeCell ref="B174:C174"/>
    <mergeCell ref="B156:C156"/>
    <mergeCell ref="B157:C157"/>
    <mergeCell ref="B158:C158"/>
    <mergeCell ref="B168:C168"/>
    <mergeCell ref="B169:C169"/>
    <mergeCell ref="B170:C170"/>
    <mergeCell ref="B171:C171"/>
    <mergeCell ref="B160:C160"/>
    <mergeCell ref="B154:C154"/>
    <mergeCell ref="B155:C155"/>
    <mergeCell ref="B162:C162"/>
    <mergeCell ref="B163:C163"/>
    <mergeCell ref="B164:C164"/>
    <mergeCell ref="B165:C165"/>
    <mergeCell ref="B166:C166"/>
    <mergeCell ref="B167:C167"/>
    <mergeCell ref="B223:C223"/>
    <mergeCell ref="B224:C224"/>
    <mergeCell ref="K17:T17"/>
    <mergeCell ref="B216:C216"/>
    <mergeCell ref="B217:C217"/>
    <mergeCell ref="B218:C218"/>
    <mergeCell ref="B219:C219"/>
    <mergeCell ref="B220:C220"/>
    <mergeCell ref="B208:C208"/>
    <mergeCell ref="B209:C209"/>
    <mergeCell ref="B210:C210"/>
    <mergeCell ref="B211:C211"/>
    <mergeCell ref="B215:C215"/>
    <mergeCell ref="B203:C203"/>
    <mergeCell ref="B204:C204"/>
    <mergeCell ref="B205:C205"/>
    <mergeCell ref="B206:C206"/>
    <mergeCell ref="B198:C198"/>
    <mergeCell ref="B199:C199"/>
    <mergeCell ref="B200:C200"/>
    <mergeCell ref="B201:C201"/>
    <mergeCell ref="B175:C175"/>
    <mergeCell ref="B181:C181"/>
    <mergeCell ref="B161:C161"/>
  </mergeCells>
  <pageMargins left="0.19685039370078741" right="0.19685039370078741" top="0.31496062992125984" bottom="0.23622047244094491" header="0.27559055118110237" footer="0.15748031496062992"/>
  <pageSetup paperSize="9" scale="43" fitToHeight="2" orientation="portrait" r:id="rId1"/>
  <headerFooter alignWithMargins="0"/>
  <rowBreaks count="3" manualBreakCount="3">
    <brk id="96" max="6" man="1"/>
    <brk id="144" max="6" man="1"/>
    <brk id="1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115"/>
  <sheetViews>
    <sheetView tabSelected="1" view="pageBreakPreview" topLeftCell="A82" zoomScale="75" zoomScaleNormal="75" zoomScaleSheetLayoutView="75" workbookViewId="0">
      <selection activeCell="N99" sqref="N99"/>
    </sheetView>
  </sheetViews>
  <sheetFormatPr defaultRowHeight="12.75" x14ac:dyDescent="0.2"/>
  <cols>
    <col min="1" max="1" width="5.7109375" style="180" customWidth="1"/>
    <col min="2" max="2" width="8.7109375" style="179" customWidth="1"/>
    <col min="3" max="3" width="78.85546875" style="180" customWidth="1"/>
    <col min="4" max="4" width="33.28515625" style="180" customWidth="1"/>
    <col min="5" max="5" width="17.140625" style="183" customWidth="1"/>
    <col min="6" max="6" width="9.7109375" style="183" hidden="1" customWidth="1"/>
    <col min="7" max="7" width="19" style="183" customWidth="1"/>
    <col min="8" max="8" width="9.140625" style="180"/>
    <col min="9" max="9" width="6.42578125" style="180" customWidth="1"/>
    <col min="10" max="10" width="14.42578125" style="180" bestFit="1" customWidth="1"/>
    <col min="11" max="256" width="9.140625" style="180"/>
    <col min="257" max="257" width="5.7109375" style="180" customWidth="1"/>
    <col min="258" max="258" width="5.42578125" style="180" customWidth="1"/>
    <col min="259" max="259" width="29.85546875" style="180" customWidth="1"/>
    <col min="260" max="260" width="37.7109375" style="180" customWidth="1"/>
    <col min="261" max="261" width="17.140625" style="180" customWidth="1"/>
    <col min="262" max="262" width="0" style="180" hidden="1" customWidth="1"/>
    <col min="263" max="263" width="19" style="180" customWidth="1"/>
    <col min="264" max="264" width="9.140625" style="180"/>
    <col min="265" max="265" width="11" style="180" bestFit="1" customWidth="1"/>
    <col min="266" max="266" width="14.42578125" style="180" bestFit="1" customWidth="1"/>
    <col min="267" max="512" width="9.140625" style="180"/>
    <col min="513" max="513" width="5.7109375" style="180" customWidth="1"/>
    <col min="514" max="514" width="5.42578125" style="180" customWidth="1"/>
    <col min="515" max="515" width="29.85546875" style="180" customWidth="1"/>
    <col min="516" max="516" width="37.7109375" style="180" customWidth="1"/>
    <col min="517" max="517" width="17.140625" style="180" customWidth="1"/>
    <col min="518" max="518" width="0" style="180" hidden="1" customWidth="1"/>
    <col min="519" max="519" width="19" style="180" customWidth="1"/>
    <col min="520" max="520" width="9.140625" style="180"/>
    <col min="521" max="521" width="11" style="180" bestFit="1" customWidth="1"/>
    <col min="522" max="522" width="14.42578125" style="180" bestFit="1" customWidth="1"/>
    <col min="523" max="768" width="9.140625" style="180"/>
    <col min="769" max="769" width="5.7109375" style="180" customWidth="1"/>
    <col min="770" max="770" width="5.42578125" style="180" customWidth="1"/>
    <col min="771" max="771" width="29.85546875" style="180" customWidth="1"/>
    <col min="772" max="772" width="37.7109375" style="180" customWidth="1"/>
    <col min="773" max="773" width="17.140625" style="180" customWidth="1"/>
    <col min="774" max="774" width="0" style="180" hidden="1" customWidth="1"/>
    <col min="775" max="775" width="19" style="180" customWidth="1"/>
    <col min="776" max="776" width="9.140625" style="180"/>
    <col min="777" max="777" width="11" style="180" bestFit="1" customWidth="1"/>
    <col min="778" max="778" width="14.42578125" style="180" bestFit="1" customWidth="1"/>
    <col min="779" max="1024" width="9.140625" style="180"/>
    <col min="1025" max="1025" width="5.7109375" style="180" customWidth="1"/>
    <col min="1026" max="1026" width="5.42578125" style="180" customWidth="1"/>
    <col min="1027" max="1027" width="29.85546875" style="180" customWidth="1"/>
    <col min="1028" max="1028" width="37.7109375" style="180" customWidth="1"/>
    <col min="1029" max="1029" width="17.140625" style="180" customWidth="1"/>
    <col min="1030" max="1030" width="0" style="180" hidden="1" customWidth="1"/>
    <col min="1031" max="1031" width="19" style="180" customWidth="1"/>
    <col min="1032" max="1032" width="9.140625" style="180"/>
    <col min="1033" max="1033" width="11" style="180" bestFit="1" customWidth="1"/>
    <col min="1034" max="1034" width="14.42578125" style="180" bestFit="1" customWidth="1"/>
    <col min="1035" max="1280" width="9.140625" style="180"/>
    <col min="1281" max="1281" width="5.7109375" style="180" customWidth="1"/>
    <col min="1282" max="1282" width="5.42578125" style="180" customWidth="1"/>
    <col min="1283" max="1283" width="29.85546875" style="180" customWidth="1"/>
    <col min="1284" max="1284" width="37.7109375" style="180" customWidth="1"/>
    <col min="1285" max="1285" width="17.140625" style="180" customWidth="1"/>
    <col min="1286" max="1286" width="0" style="180" hidden="1" customWidth="1"/>
    <col min="1287" max="1287" width="19" style="180" customWidth="1"/>
    <col min="1288" max="1288" width="9.140625" style="180"/>
    <col min="1289" max="1289" width="11" style="180" bestFit="1" customWidth="1"/>
    <col min="1290" max="1290" width="14.42578125" style="180" bestFit="1" customWidth="1"/>
    <col min="1291" max="1536" width="9.140625" style="180"/>
    <col min="1537" max="1537" width="5.7109375" style="180" customWidth="1"/>
    <col min="1538" max="1538" width="5.42578125" style="180" customWidth="1"/>
    <col min="1539" max="1539" width="29.85546875" style="180" customWidth="1"/>
    <col min="1540" max="1540" width="37.7109375" style="180" customWidth="1"/>
    <col min="1541" max="1541" width="17.140625" style="180" customWidth="1"/>
    <col min="1542" max="1542" width="0" style="180" hidden="1" customWidth="1"/>
    <col min="1543" max="1543" width="19" style="180" customWidth="1"/>
    <col min="1544" max="1544" width="9.140625" style="180"/>
    <col min="1545" max="1545" width="11" style="180" bestFit="1" customWidth="1"/>
    <col min="1546" max="1546" width="14.42578125" style="180" bestFit="1" customWidth="1"/>
    <col min="1547" max="1792" width="9.140625" style="180"/>
    <col min="1793" max="1793" width="5.7109375" style="180" customWidth="1"/>
    <col min="1794" max="1794" width="5.42578125" style="180" customWidth="1"/>
    <col min="1795" max="1795" width="29.85546875" style="180" customWidth="1"/>
    <col min="1796" max="1796" width="37.7109375" style="180" customWidth="1"/>
    <col min="1797" max="1797" width="17.140625" style="180" customWidth="1"/>
    <col min="1798" max="1798" width="0" style="180" hidden="1" customWidth="1"/>
    <col min="1799" max="1799" width="19" style="180" customWidth="1"/>
    <col min="1800" max="1800" width="9.140625" style="180"/>
    <col min="1801" max="1801" width="11" style="180" bestFit="1" customWidth="1"/>
    <col min="1802" max="1802" width="14.42578125" style="180" bestFit="1" customWidth="1"/>
    <col min="1803" max="2048" width="9.140625" style="180"/>
    <col min="2049" max="2049" width="5.7109375" style="180" customWidth="1"/>
    <col min="2050" max="2050" width="5.42578125" style="180" customWidth="1"/>
    <col min="2051" max="2051" width="29.85546875" style="180" customWidth="1"/>
    <col min="2052" max="2052" width="37.7109375" style="180" customWidth="1"/>
    <col min="2053" max="2053" width="17.140625" style="180" customWidth="1"/>
    <col min="2054" max="2054" width="0" style="180" hidden="1" customWidth="1"/>
    <col min="2055" max="2055" width="19" style="180" customWidth="1"/>
    <col min="2056" max="2056" width="9.140625" style="180"/>
    <col min="2057" max="2057" width="11" style="180" bestFit="1" customWidth="1"/>
    <col min="2058" max="2058" width="14.42578125" style="180" bestFit="1" customWidth="1"/>
    <col min="2059" max="2304" width="9.140625" style="180"/>
    <col min="2305" max="2305" width="5.7109375" style="180" customWidth="1"/>
    <col min="2306" max="2306" width="5.42578125" style="180" customWidth="1"/>
    <col min="2307" max="2307" width="29.85546875" style="180" customWidth="1"/>
    <col min="2308" max="2308" width="37.7109375" style="180" customWidth="1"/>
    <col min="2309" max="2309" width="17.140625" style="180" customWidth="1"/>
    <col min="2310" max="2310" width="0" style="180" hidden="1" customWidth="1"/>
    <col min="2311" max="2311" width="19" style="180" customWidth="1"/>
    <col min="2312" max="2312" width="9.140625" style="180"/>
    <col min="2313" max="2313" width="11" style="180" bestFit="1" customWidth="1"/>
    <col min="2314" max="2314" width="14.42578125" style="180" bestFit="1" customWidth="1"/>
    <col min="2315" max="2560" width="9.140625" style="180"/>
    <col min="2561" max="2561" width="5.7109375" style="180" customWidth="1"/>
    <col min="2562" max="2562" width="5.42578125" style="180" customWidth="1"/>
    <col min="2563" max="2563" width="29.85546875" style="180" customWidth="1"/>
    <col min="2564" max="2564" width="37.7109375" style="180" customWidth="1"/>
    <col min="2565" max="2565" width="17.140625" style="180" customWidth="1"/>
    <col min="2566" max="2566" width="0" style="180" hidden="1" customWidth="1"/>
    <col min="2567" max="2567" width="19" style="180" customWidth="1"/>
    <col min="2568" max="2568" width="9.140625" style="180"/>
    <col min="2569" max="2569" width="11" style="180" bestFit="1" customWidth="1"/>
    <col min="2570" max="2570" width="14.42578125" style="180" bestFit="1" customWidth="1"/>
    <col min="2571" max="2816" width="9.140625" style="180"/>
    <col min="2817" max="2817" width="5.7109375" style="180" customWidth="1"/>
    <col min="2818" max="2818" width="5.42578125" style="180" customWidth="1"/>
    <col min="2819" max="2819" width="29.85546875" style="180" customWidth="1"/>
    <col min="2820" max="2820" width="37.7109375" style="180" customWidth="1"/>
    <col min="2821" max="2821" width="17.140625" style="180" customWidth="1"/>
    <col min="2822" max="2822" width="0" style="180" hidden="1" customWidth="1"/>
    <col min="2823" max="2823" width="19" style="180" customWidth="1"/>
    <col min="2824" max="2824" width="9.140625" style="180"/>
    <col min="2825" max="2825" width="11" style="180" bestFit="1" customWidth="1"/>
    <col min="2826" max="2826" width="14.42578125" style="180" bestFit="1" customWidth="1"/>
    <col min="2827" max="3072" width="9.140625" style="180"/>
    <col min="3073" max="3073" width="5.7109375" style="180" customWidth="1"/>
    <col min="3074" max="3074" width="5.42578125" style="180" customWidth="1"/>
    <col min="3075" max="3075" width="29.85546875" style="180" customWidth="1"/>
    <col min="3076" max="3076" width="37.7109375" style="180" customWidth="1"/>
    <col min="3077" max="3077" width="17.140625" style="180" customWidth="1"/>
    <col min="3078" max="3078" width="0" style="180" hidden="1" customWidth="1"/>
    <col min="3079" max="3079" width="19" style="180" customWidth="1"/>
    <col min="3080" max="3080" width="9.140625" style="180"/>
    <col min="3081" max="3081" width="11" style="180" bestFit="1" customWidth="1"/>
    <col min="3082" max="3082" width="14.42578125" style="180" bestFit="1" customWidth="1"/>
    <col min="3083" max="3328" width="9.140625" style="180"/>
    <col min="3329" max="3329" width="5.7109375" style="180" customWidth="1"/>
    <col min="3330" max="3330" width="5.42578125" style="180" customWidth="1"/>
    <col min="3331" max="3331" width="29.85546875" style="180" customWidth="1"/>
    <col min="3332" max="3332" width="37.7109375" style="180" customWidth="1"/>
    <col min="3333" max="3333" width="17.140625" style="180" customWidth="1"/>
    <col min="3334" max="3334" width="0" style="180" hidden="1" customWidth="1"/>
    <col min="3335" max="3335" width="19" style="180" customWidth="1"/>
    <col min="3336" max="3336" width="9.140625" style="180"/>
    <col min="3337" max="3337" width="11" style="180" bestFit="1" customWidth="1"/>
    <col min="3338" max="3338" width="14.42578125" style="180" bestFit="1" customWidth="1"/>
    <col min="3339" max="3584" width="9.140625" style="180"/>
    <col min="3585" max="3585" width="5.7109375" style="180" customWidth="1"/>
    <col min="3586" max="3586" width="5.42578125" style="180" customWidth="1"/>
    <col min="3587" max="3587" width="29.85546875" style="180" customWidth="1"/>
    <col min="3588" max="3588" width="37.7109375" style="180" customWidth="1"/>
    <col min="3589" max="3589" width="17.140625" style="180" customWidth="1"/>
    <col min="3590" max="3590" width="0" style="180" hidden="1" customWidth="1"/>
    <col min="3591" max="3591" width="19" style="180" customWidth="1"/>
    <col min="3592" max="3592" width="9.140625" style="180"/>
    <col min="3593" max="3593" width="11" style="180" bestFit="1" customWidth="1"/>
    <col min="3594" max="3594" width="14.42578125" style="180" bestFit="1" customWidth="1"/>
    <col min="3595" max="3840" width="9.140625" style="180"/>
    <col min="3841" max="3841" width="5.7109375" style="180" customWidth="1"/>
    <col min="3842" max="3842" width="5.42578125" style="180" customWidth="1"/>
    <col min="3843" max="3843" width="29.85546875" style="180" customWidth="1"/>
    <col min="3844" max="3844" width="37.7109375" style="180" customWidth="1"/>
    <col min="3845" max="3845" width="17.140625" style="180" customWidth="1"/>
    <col min="3846" max="3846" width="0" style="180" hidden="1" customWidth="1"/>
    <col min="3847" max="3847" width="19" style="180" customWidth="1"/>
    <col min="3848" max="3848" width="9.140625" style="180"/>
    <col min="3849" max="3849" width="11" style="180" bestFit="1" customWidth="1"/>
    <col min="3850" max="3850" width="14.42578125" style="180" bestFit="1" customWidth="1"/>
    <col min="3851" max="4096" width="9.140625" style="180"/>
    <col min="4097" max="4097" width="5.7109375" style="180" customWidth="1"/>
    <col min="4098" max="4098" width="5.42578125" style="180" customWidth="1"/>
    <col min="4099" max="4099" width="29.85546875" style="180" customWidth="1"/>
    <col min="4100" max="4100" width="37.7109375" style="180" customWidth="1"/>
    <col min="4101" max="4101" width="17.140625" style="180" customWidth="1"/>
    <col min="4102" max="4102" width="0" style="180" hidden="1" customWidth="1"/>
    <col min="4103" max="4103" width="19" style="180" customWidth="1"/>
    <col min="4104" max="4104" width="9.140625" style="180"/>
    <col min="4105" max="4105" width="11" style="180" bestFit="1" customWidth="1"/>
    <col min="4106" max="4106" width="14.42578125" style="180" bestFit="1" customWidth="1"/>
    <col min="4107" max="4352" width="9.140625" style="180"/>
    <col min="4353" max="4353" width="5.7109375" style="180" customWidth="1"/>
    <col min="4354" max="4354" width="5.42578125" style="180" customWidth="1"/>
    <col min="4355" max="4355" width="29.85546875" style="180" customWidth="1"/>
    <col min="4356" max="4356" width="37.7109375" style="180" customWidth="1"/>
    <col min="4357" max="4357" width="17.140625" style="180" customWidth="1"/>
    <col min="4358" max="4358" width="0" style="180" hidden="1" customWidth="1"/>
    <col min="4359" max="4359" width="19" style="180" customWidth="1"/>
    <col min="4360" max="4360" width="9.140625" style="180"/>
    <col min="4361" max="4361" width="11" style="180" bestFit="1" customWidth="1"/>
    <col min="4362" max="4362" width="14.42578125" style="180" bestFit="1" customWidth="1"/>
    <col min="4363" max="4608" width="9.140625" style="180"/>
    <col min="4609" max="4609" width="5.7109375" style="180" customWidth="1"/>
    <col min="4610" max="4610" width="5.42578125" style="180" customWidth="1"/>
    <col min="4611" max="4611" width="29.85546875" style="180" customWidth="1"/>
    <col min="4612" max="4612" width="37.7109375" style="180" customWidth="1"/>
    <col min="4613" max="4613" width="17.140625" style="180" customWidth="1"/>
    <col min="4614" max="4614" width="0" style="180" hidden="1" customWidth="1"/>
    <col min="4615" max="4615" width="19" style="180" customWidth="1"/>
    <col min="4616" max="4616" width="9.140625" style="180"/>
    <col min="4617" max="4617" width="11" style="180" bestFit="1" customWidth="1"/>
    <col min="4618" max="4618" width="14.42578125" style="180" bestFit="1" customWidth="1"/>
    <col min="4619" max="4864" width="9.140625" style="180"/>
    <col min="4865" max="4865" width="5.7109375" style="180" customWidth="1"/>
    <col min="4866" max="4866" width="5.42578125" style="180" customWidth="1"/>
    <col min="4867" max="4867" width="29.85546875" style="180" customWidth="1"/>
    <col min="4868" max="4868" width="37.7109375" style="180" customWidth="1"/>
    <col min="4869" max="4869" width="17.140625" style="180" customWidth="1"/>
    <col min="4870" max="4870" width="0" style="180" hidden="1" customWidth="1"/>
    <col min="4871" max="4871" width="19" style="180" customWidth="1"/>
    <col min="4872" max="4872" width="9.140625" style="180"/>
    <col min="4873" max="4873" width="11" style="180" bestFit="1" customWidth="1"/>
    <col min="4874" max="4874" width="14.42578125" style="180" bestFit="1" customWidth="1"/>
    <col min="4875" max="5120" width="9.140625" style="180"/>
    <col min="5121" max="5121" width="5.7109375" style="180" customWidth="1"/>
    <col min="5122" max="5122" width="5.42578125" style="180" customWidth="1"/>
    <col min="5123" max="5123" width="29.85546875" style="180" customWidth="1"/>
    <col min="5124" max="5124" width="37.7109375" style="180" customWidth="1"/>
    <col min="5125" max="5125" width="17.140625" style="180" customWidth="1"/>
    <col min="5126" max="5126" width="0" style="180" hidden="1" customWidth="1"/>
    <col min="5127" max="5127" width="19" style="180" customWidth="1"/>
    <col min="5128" max="5128" width="9.140625" style="180"/>
    <col min="5129" max="5129" width="11" style="180" bestFit="1" customWidth="1"/>
    <col min="5130" max="5130" width="14.42578125" style="180" bestFit="1" customWidth="1"/>
    <col min="5131" max="5376" width="9.140625" style="180"/>
    <col min="5377" max="5377" width="5.7109375" style="180" customWidth="1"/>
    <col min="5378" max="5378" width="5.42578125" style="180" customWidth="1"/>
    <col min="5379" max="5379" width="29.85546875" style="180" customWidth="1"/>
    <col min="5380" max="5380" width="37.7109375" style="180" customWidth="1"/>
    <col min="5381" max="5381" width="17.140625" style="180" customWidth="1"/>
    <col min="5382" max="5382" width="0" style="180" hidden="1" customWidth="1"/>
    <col min="5383" max="5383" width="19" style="180" customWidth="1"/>
    <col min="5384" max="5384" width="9.140625" style="180"/>
    <col min="5385" max="5385" width="11" style="180" bestFit="1" customWidth="1"/>
    <col min="5386" max="5386" width="14.42578125" style="180" bestFit="1" customWidth="1"/>
    <col min="5387" max="5632" width="9.140625" style="180"/>
    <col min="5633" max="5633" width="5.7109375" style="180" customWidth="1"/>
    <col min="5634" max="5634" width="5.42578125" style="180" customWidth="1"/>
    <col min="5635" max="5635" width="29.85546875" style="180" customWidth="1"/>
    <col min="5636" max="5636" width="37.7109375" style="180" customWidth="1"/>
    <col min="5637" max="5637" width="17.140625" style="180" customWidth="1"/>
    <col min="5638" max="5638" width="0" style="180" hidden="1" customWidth="1"/>
    <col min="5639" max="5639" width="19" style="180" customWidth="1"/>
    <col min="5640" max="5640" width="9.140625" style="180"/>
    <col min="5641" max="5641" width="11" style="180" bestFit="1" customWidth="1"/>
    <col min="5642" max="5642" width="14.42578125" style="180" bestFit="1" customWidth="1"/>
    <col min="5643" max="5888" width="9.140625" style="180"/>
    <col min="5889" max="5889" width="5.7109375" style="180" customWidth="1"/>
    <col min="5890" max="5890" width="5.42578125" style="180" customWidth="1"/>
    <col min="5891" max="5891" width="29.85546875" style="180" customWidth="1"/>
    <col min="5892" max="5892" width="37.7109375" style="180" customWidth="1"/>
    <col min="5893" max="5893" width="17.140625" style="180" customWidth="1"/>
    <col min="5894" max="5894" width="0" style="180" hidden="1" customWidth="1"/>
    <col min="5895" max="5895" width="19" style="180" customWidth="1"/>
    <col min="5896" max="5896" width="9.140625" style="180"/>
    <col min="5897" max="5897" width="11" style="180" bestFit="1" customWidth="1"/>
    <col min="5898" max="5898" width="14.42578125" style="180" bestFit="1" customWidth="1"/>
    <col min="5899" max="6144" width="9.140625" style="180"/>
    <col min="6145" max="6145" width="5.7109375" style="180" customWidth="1"/>
    <col min="6146" max="6146" width="5.42578125" style="180" customWidth="1"/>
    <col min="6147" max="6147" width="29.85546875" style="180" customWidth="1"/>
    <col min="6148" max="6148" width="37.7109375" style="180" customWidth="1"/>
    <col min="6149" max="6149" width="17.140625" style="180" customWidth="1"/>
    <col min="6150" max="6150" width="0" style="180" hidden="1" customWidth="1"/>
    <col min="6151" max="6151" width="19" style="180" customWidth="1"/>
    <col min="6152" max="6152" width="9.140625" style="180"/>
    <col min="6153" max="6153" width="11" style="180" bestFit="1" customWidth="1"/>
    <col min="6154" max="6154" width="14.42578125" style="180" bestFit="1" customWidth="1"/>
    <col min="6155" max="6400" width="9.140625" style="180"/>
    <col min="6401" max="6401" width="5.7109375" style="180" customWidth="1"/>
    <col min="6402" max="6402" width="5.42578125" style="180" customWidth="1"/>
    <col min="6403" max="6403" width="29.85546875" style="180" customWidth="1"/>
    <col min="6404" max="6404" width="37.7109375" style="180" customWidth="1"/>
    <col min="6405" max="6405" width="17.140625" style="180" customWidth="1"/>
    <col min="6406" max="6406" width="0" style="180" hidden="1" customWidth="1"/>
    <col min="6407" max="6407" width="19" style="180" customWidth="1"/>
    <col min="6408" max="6408" width="9.140625" style="180"/>
    <col min="6409" max="6409" width="11" style="180" bestFit="1" customWidth="1"/>
    <col min="6410" max="6410" width="14.42578125" style="180" bestFit="1" customWidth="1"/>
    <col min="6411" max="6656" width="9.140625" style="180"/>
    <col min="6657" max="6657" width="5.7109375" style="180" customWidth="1"/>
    <col min="6658" max="6658" width="5.42578125" style="180" customWidth="1"/>
    <col min="6659" max="6659" width="29.85546875" style="180" customWidth="1"/>
    <col min="6660" max="6660" width="37.7109375" style="180" customWidth="1"/>
    <col min="6661" max="6661" width="17.140625" style="180" customWidth="1"/>
    <col min="6662" max="6662" width="0" style="180" hidden="1" customWidth="1"/>
    <col min="6663" max="6663" width="19" style="180" customWidth="1"/>
    <col min="6664" max="6664" width="9.140625" style="180"/>
    <col min="6665" max="6665" width="11" style="180" bestFit="1" customWidth="1"/>
    <col min="6666" max="6666" width="14.42578125" style="180" bestFit="1" customWidth="1"/>
    <col min="6667" max="6912" width="9.140625" style="180"/>
    <col min="6913" max="6913" width="5.7109375" style="180" customWidth="1"/>
    <col min="6914" max="6914" width="5.42578125" style="180" customWidth="1"/>
    <col min="6915" max="6915" width="29.85546875" style="180" customWidth="1"/>
    <col min="6916" max="6916" width="37.7109375" style="180" customWidth="1"/>
    <col min="6917" max="6917" width="17.140625" style="180" customWidth="1"/>
    <col min="6918" max="6918" width="0" style="180" hidden="1" customWidth="1"/>
    <col min="6919" max="6919" width="19" style="180" customWidth="1"/>
    <col min="6920" max="6920" width="9.140625" style="180"/>
    <col min="6921" max="6921" width="11" style="180" bestFit="1" customWidth="1"/>
    <col min="6922" max="6922" width="14.42578125" style="180" bestFit="1" customWidth="1"/>
    <col min="6923" max="7168" width="9.140625" style="180"/>
    <col min="7169" max="7169" width="5.7109375" style="180" customWidth="1"/>
    <col min="7170" max="7170" width="5.42578125" style="180" customWidth="1"/>
    <col min="7171" max="7171" width="29.85546875" style="180" customWidth="1"/>
    <col min="7172" max="7172" width="37.7109375" style="180" customWidth="1"/>
    <col min="7173" max="7173" width="17.140625" style="180" customWidth="1"/>
    <col min="7174" max="7174" width="0" style="180" hidden="1" customWidth="1"/>
    <col min="7175" max="7175" width="19" style="180" customWidth="1"/>
    <col min="7176" max="7176" width="9.140625" style="180"/>
    <col min="7177" max="7177" width="11" style="180" bestFit="1" customWidth="1"/>
    <col min="7178" max="7178" width="14.42578125" style="180" bestFit="1" customWidth="1"/>
    <col min="7179" max="7424" width="9.140625" style="180"/>
    <col min="7425" max="7425" width="5.7109375" style="180" customWidth="1"/>
    <col min="7426" max="7426" width="5.42578125" style="180" customWidth="1"/>
    <col min="7427" max="7427" width="29.85546875" style="180" customWidth="1"/>
    <col min="7428" max="7428" width="37.7109375" style="180" customWidth="1"/>
    <col min="7429" max="7429" width="17.140625" style="180" customWidth="1"/>
    <col min="7430" max="7430" width="0" style="180" hidden="1" customWidth="1"/>
    <col min="7431" max="7431" width="19" style="180" customWidth="1"/>
    <col min="7432" max="7432" width="9.140625" style="180"/>
    <col min="7433" max="7433" width="11" style="180" bestFit="1" customWidth="1"/>
    <col min="7434" max="7434" width="14.42578125" style="180" bestFit="1" customWidth="1"/>
    <col min="7435" max="7680" width="9.140625" style="180"/>
    <col min="7681" max="7681" width="5.7109375" style="180" customWidth="1"/>
    <col min="7682" max="7682" width="5.42578125" style="180" customWidth="1"/>
    <col min="7683" max="7683" width="29.85546875" style="180" customWidth="1"/>
    <col min="7684" max="7684" width="37.7109375" style="180" customWidth="1"/>
    <col min="7685" max="7685" width="17.140625" style="180" customWidth="1"/>
    <col min="7686" max="7686" width="0" style="180" hidden="1" customWidth="1"/>
    <col min="7687" max="7687" width="19" style="180" customWidth="1"/>
    <col min="7688" max="7688" width="9.140625" style="180"/>
    <col min="7689" max="7689" width="11" style="180" bestFit="1" customWidth="1"/>
    <col min="7690" max="7690" width="14.42578125" style="180" bestFit="1" customWidth="1"/>
    <col min="7691" max="7936" width="9.140625" style="180"/>
    <col min="7937" max="7937" width="5.7109375" style="180" customWidth="1"/>
    <col min="7938" max="7938" width="5.42578125" style="180" customWidth="1"/>
    <col min="7939" max="7939" width="29.85546875" style="180" customWidth="1"/>
    <col min="7940" max="7940" width="37.7109375" style="180" customWidth="1"/>
    <col min="7941" max="7941" width="17.140625" style="180" customWidth="1"/>
    <col min="7942" max="7942" width="0" style="180" hidden="1" customWidth="1"/>
    <col min="7943" max="7943" width="19" style="180" customWidth="1"/>
    <col min="7944" max="7944" width="9.140625" style="180"/>
    <col min="7945" max="7945" width="11" style="180" bestFit="1" customWidth="1"/>
    <col min="7946" max="7946" width="14.42578125" style="180" bestFit="1" customWidth="1"/>
    <col min="7947" max="8192" width="9.140625" style="180"/>
    <col min="8193" max="8193" width="5.7109375" style="180" customWidth="1"/>
    <col min="8194" max="8194" width="5.42578125" style="180" customWidth="1"/>
    <col min="8195" max="8195" width="29.85546875" style="180" customWidth="1"/>
    <col min="8196" max="8196" width="37.7109375" style="180" customWidth="1"/>
    <col min="8197" max="8197" width="17.140625" style="180" customWidth="1"/>
    <col min="8198" max="8198" width="0" style="180" hidden="1" customWidth="1"/>
    <col min="8199" max="8199" width="19" style="180" customWidth="1"/>
    <col min="8200" max="8200" width="9.140625" style="180"/>
    <col min="8201" max="8201" width="11" style="180" bestFit="1" customWidth="1"/>
    <col min="8202" max="8202" width="14.42578125" style="180" bestFit="1" customWidth="1"/>
    <col min="8203" max="8448" width="9.140625" style="180"/>
    <col min="8449" max="8449" width="5.7109375" style="180" customWidth="1"/>
    <col min="8450" max="8450" width="5.42578125" style="180" customWidth="1"/>
    <col min="8451" max="8451" width="29.85546875" style="180" customWidth="1"/>
    <col min="8452" max="8452" width="37.7109375" style="180" customWidth="1"/>
    <col min="8453" max="8453" width="17.140625" style="180" customWidth="1"/>
    <col min="8454" max="8454" width="0" style="180" hidden="1" customWidth="1"/>
    <col min="8455" max="8455" width="19" style="180" customWidth="1"/>
    <col min="8456" max="8456" width="9.140625" style="180"/>
    <col min="8457" max="8457" width="11" style="180" bestFit="1" customWidth="1"/>
    <col min="8458" max="8458" width="14.42578125" style="180" bestFit="1" customWidth="1"/>
    <col min="8459" max="8704" width="9.140625" style="180"/>
    <col min="8705" max="8705" width="5.7109375" style="180" customWidth="1"/>
    <col min="8706" max="8706" width="5.42578125" style="180" customWidth="1"/>
    <col min="8707" max="8707" width="29.85546875" style="180" customWidth="1"/>
    <col min="8708" max="8708" width="37.7109375" style="180" customWidth="1"/>
    <col min="8709" max="8709" width="17.140625" style="180" customWidth="1"/>
    <col min="8710" max="8710" width="0" style="180" hidden="1" customWidth="1"/>
    <col min="8711" max="8711" width="19" style="180" customWidth="1"/>
    <col min="8712" max="8712" width="9.140625" style="180"/>
    <col min="8713" max="8713" width="11" style="180" bestFit="1" customWidth="1"/>
    <col min="8714" max="8714" width="14.42578125" style="180" bestFit="1" customWidth="1"/>
    <col min="8715" max="8960" width="9.140625" style="180"/>
    <col min="8961" max="8961" width="5.7109375" style="180" customWidth="1"/>
    <col min="8962" max="8962" width="5.42578125" style="180" customWidth="1"/>
    <col min="8963" max="8963" width="29.85546875" style="180" customWidth="1"/>
    <col min="8964" max="8964" width="37.7109375" style="180" customWidth="1"/>
    <col min="8965" max="8965" width="17.140625" style="180" customWidth="1"/>
    <col min="8966" max="8966" width="0" style="180" hidden="1" customWidth="1"/>
    <col min="8967" max="8967" width="19" style="180" customWidth="1"/>
    <col min="8968" max="8968" width="9.140625" style="180"/>
    <col min="8969" max="8969" width="11" style="180" bestFit="1" customWidth="1"/>
    <col min="8970" max="8970" width="14.42578125" style="180" bestFit="1" customWidth="1"/>
    <col min="8971" max="9216" width="9.140625" style="180"/>
    <col min="9217" max="9217" width="5.7109375" style="180" customWidth="1"/>
    <col min="9218" max="9218" width="5.42578125" style="180" customWidth="1"/>
    <col min="9219" max="9219" width="29.85546875" style="180" customWidth="1"/>
    <col min="9220" max="9220" width="37.7109375" style="180" customWidth="1"/>
    <col min="9221" max="9221" width="17.140625" style="180" customWidth="1"/>
    <col min="9222" max="9222" width="0" style="180" hidden="1" customWidth="1"/>
    <col min="9223" max="9223" width="19" style="180" customWidth="1"/>
    <col min="9224" max="9224" width="9.140625" style="180"/>
    <col min="9225" max="9225" width="11" style="180" bestFit="1" customWidth="1"/>
    <col min="9226" max="9226" width="14.42578125" style="180" bestFit="1" customWidth="1"/>
    <col min="9227" max="9472" width="9.140625" style="180"/>
    <col min="9473" max="9473" width="5.7109375" style="180" customWidth="1"/>
    <col min="9474" max="9474" width="5.42578125" style="180" customWidth="1"/>
    <col min="9475" max="9475" width="29.85546875" style="180" customWidth="1"/>
    <col min="9476" max="9476" width="37.7109375" style="180" customWidth="1"/>
    <col min="9477" max="9477" width="17.140625" style="180" customWidth="1"/>
    <col min="9478" max="9478" width="0" style="180" hidden="1" customWidth="1"/>
    <col min="9479" max="9479" width="19" style="180" customWidth="1"/>
    <col min="9480" max="9480" width="9.140625" style="180"/>
    <col min="9481" max="9481" width="11" style="180" bestFit="1" customWidth="1"/>
    <col min="9482" max="9482" width="14.42578125" style="180" bestFit="1" customWidth="1"/>
    <col min="9483" max="9728" width="9.140625" style="180"/>
    <col min="9729" max="9729" width="5.7109375" style="180" customWidth="1"/>
    <col min="9730" max="9730" width="5.42578125" style="180" customWidth="1"/>
    <col min="9731" max="9731" width="29.85546875" style="180" customWidth="1"/>
    <col min="9732" max="9732" width="37.7109375" style="180" customWidth="1"/>
    <col min="9733" max="9733" width="17.140625" style="180" customWidth="1"/>
    <col min="9734" max="9734" width="0" style="180" hidden="1" customWidth="1"/>
    <col min="9735" max="9735" width="19" style="180" customWidth="1"/>
    <col min="9736" max="9736" width="9.140625" style="180"/>
    <col min="9737" max="9737" width="11" style="180" bestFit="1" customWidth="1"/>
    <col min="9738" max="9738" width="14.42578125" style="180" bestFit="1" customWidth="1"/>
    <col min="9739" max="9984" width="9.140625" style="180"/>
    <col min="9985" max="9985" width="5.7109375" style="180" customWidth="1"/>
    <col min="9986" max="9986" width="5.42578125" style="180" customWidth="1"/>
    <col min="9987" max="9987" width="29.85546875" style="180" customWidth="1"/>
    <col min="9988" max="9988" width="37.7109375" style="180" customWidth="1"/>
    <col min="9989" max="9989" width="17.140625" style="180" customWidth="1"/>
    <col min="9990" max="9990" width="0" style="180" hidden="1" customWidth="1"/>
    <col min="9991" max="9991" width="19" style="180" customWidth="1"/>
    <col min="9992" max="9992" width="9.140625" style="180"/>
    <col min="9993" max="9993" width="11" style="180" bestFit="1" customWidth="1"/>
    <col min="9994" max="9994" width="14.42578125" style="180" bestFit="1" customWidth="1"/>
    <col min="9995" max="10240" width="9.140625" style="180"/>
    <col min="10241" max="10241" width="5.7109375" style="180" customWidth="1"/>
    <col min="10242" max="10242" width="5.42578125" style="180" customWidth="1"/>
    <col min="10243" max="10243" width="29.85546875" style="180" customWidth="1"/>
    <col min="10244" max="10244" width="37.7109375" style="180" customWidth="1"/>
    <col min="10245" max="10245" width="17.140625" style="180" customWidth="1"/>
    <col min="10246" max="10246" width="0" style="180" hidden="1" customWidth="1"/>
    <col min="10247" max="10247" width="19" style="180" customWidth="1"/>
    <col min="10248" max="10248" width="9.140625" style="180"/>
    <col min="10249" max="10249" width="11" style="180" bestFit="1" customWidth="1"/>
    <col min="10250" max="10250" width="14.42578125" style="180" bestFit="1" customWidth="1"/>
    <col min="10251" max="10496" width="9.140625" style="180"/>
    <col min="10497" max="10497" width="5.7109375" style="180" customWidth="1"/>
    <col min="10498" max="10498" width="5.42578125" style="180" customWidth="1"/>
    <col min="10499" max="10499" width="29.85546875" style="180" customWidth="1"/>
    <col min="10500" max="10500" width="37.7109375" style="180" customWidth="1"/>
    <col min="10501" max="10501" width="17.140625" style="180" customWidth="1"/>
    <col min="10502" max="10502" width="0" style="180" hidden="1" customWidth="1"/>
    <col min="10503" max="10503" width="19" style="180" customWidth="1"/>
    <col min="10504" max="10504" width="9.140625" style="180"/>
    <col min="10505" max="10505" width="11" style="180" bestFit="1" customWidth="1"/>
    <col min="10506" max="10506" width="14.42578125" style="180" bestFit="1" customWidth="1"/>
    <col min="10507" max="10752" width="9.140625" style="180"/>
    <col min="10753" max="10753" width="5.7109375" style="180" customWidth="1"/>
    <col min="10754" max="10754" width="5.42578125" style="180" customWidth="1"/>
    <col min="10755" max="10755" width="29.85546875" style="180" customWidth="1"/>
    <col min="10756" max="10756" width="37.7109375" style="180" customWidth="1"/>
    <col min="10757" max="10757" width="17.140625" style="180" customWidth="1"/>
    <col min="10758" max="10758" width="0" style="180" hidden="1" customWidth="1"/>
    <col min="10759" max="10759" width="19" style="180" customWidth="1"/>
    <col min="10760" max="10760" width="9.140625" style="180"/>
    <col min="10761" max="10761" width="11" style="180" bestFit="1" customWidth="1"/>
    <col min="10762" max="10762" width="14.42578125" style="180" bestFit="1" customWidth="1"/>
    <col min="10763" max="11008" width="9.140625" style="180"/>
    <col min="11009" max="11009" width="5.7109375" style="180" customWidth="1"/>
    <col min="11010" max="11010" width="5.42578125" style="180" customWidth="1"/>
    <col min="11011" max="11011" width="29.85546875" style="180" customWidth="1"/>
    <col min="11012" max="11012" width="37.7109375" style="180" customWidth="1"/>
    <col min="11013" max="11013" width="17.140625" style="180" customWidth="1"/>
    <col min="11014" max="11014" width="0" style="180" hidden="1" customWidth="1"/>
    <col min="11015" max="11015" width="19" style="180" customWidth="1"/>
    <col min="11016" max="11016" width="9.140625" style="180"/>
    <col min="11017" max="11017" width="11" style="180" bestFit="1" customWidth="1"/>
    <col min="11018" max="11018" width="14.42578125" style="180" bestFit="1" customWidth="1"/>
    <col min="11019" max="11264" width="9.140625" style="180"/>
    <col min="11265" max="11265" width="5.7109375" style="180" customWidth="1"/>
    <col min="11266" max="11266" width="5.42578125" style="180" customWidth="1"/>
    <col min="11267" max="11267" width="29.85546875" style="180" customWidth="1"/>
    <col min="11268" max="11268" width="37.7109375" style="180" customWidth="1"/>
    <col min="11269" max="11269" width="17.140625" style="180" customWidth="1"/>
    <col min="11270" max="11270" width="0" style="180" hidden="1" customWidth="1"/>
    <col min="11271" max="11271" width="19" style="180" customWidth="1"/>
    <col min="11272" max="11272" width="9.140625" style="180"/>
    <col min="11273" max="11273" width="11" style="180" bestFit="1" customWidth="1"/>
    <col min="11274" max="11274" width="14.42578125" style="180" bestFit="1" customWidth="1"/>
    <col min="11275" max="11520" width="9.140625" style="180"/>
    <col min="11521" max="11521" width="5.7109375" style="180" customWidth="1"/>
    <col min="11522" max="11522" width="5.42578125" style="180" customWidth="1"/>
    <col min="11523" max="11523" width="29.85546875" style="180" customWidth="1"/>
    <col min="11524" max="11524" width="37.7109375" style="180" customWidth="1"/>
    <col min="11525" max="11525" width="17.140625" style="180" customWidth="1"/>
    <col min="11526" max="11526" width="0" style="180" hidden="1" customWidth="1"/>
    <col min="11527" max="11527" width="19" style="180" customWidth="1"/>
    <col min="11528" max="11528" width="9.140625" style="180"/>
    <col min="11529" max="11529" width="11" style="180" bestFit="1" customWidth="1"/>
    <col min="11530" max="11530" width="14.42578125" style="180" bestFit="1" customWidth="1"/>
    <col min="11531" max="11776" width="9.140625" style="180"/>
    <col min="11777" max="11777" width="5.7109375" style="180" customWidth="1"/>
    <col min="11778" max="11778" width="5.42578125" style="180" customWidth="1"/>
    <col min="11779" max="11779" width="29.85546875" style="180" customWidth="1"/>
    <col min="11780" max="11780" width="37.7109375" style="180" customWidth="1"/>
    <col min="11781" max="11781" width="17.140625" style="180" customWidth="1"/>
    <col min="11782" max="11782" width="0" style="180" hidden="1" customWidth="1"/>
    <col min="11783" max="11783" width="19" style="180" customWidth="1"/>
    <col min="11784" max="11784" width="9.140625" style="180"/>
    <col min="11785" max="11785" width="11" style="180" bestFit="1" customWidth="1"/>
    <col min="11786" max="11786" width="14.42578125" style="180" bestFit="1" customWidth="1"/>
    <col min="11787" max="12032" width="9.140625" style="180"/>
    <col min="12033" max="12033" width="5.7109375" style="180" customWidth="1"/>
    <col min="12034" max="12034" width="5.42578125" style="180" customWidth="1"/>
    <col min="12035" max="12035" width="29.85546875" style="180" customWidth="1"/>
    <col min="12036" max="12036" width="37.7109375" style="180" customWidth="1"/>
    <col min="12037" max="12037" width="17.140625" style="180" customWidth="1"/>
    <col min="12038" max="12038" width="0" style="180" hidden="1" customWidth="1"/>
    <col min="12039" max="12039" width="19" style="180" customWidth="1"/>
    <col min="12040" max="12040" width="9.140625" style="180"/>
    <col min="12041" max="12041" width="11" style="180" bestFit="1" customWidth="1"/>
    <col min="12042" max="12042" width="14.42578125" style="180" bestFit="1" customWidth="1"/>
    <col min="12043" max="12288" width="9.140625" style="180"/>
    <col min="12289" max="12289" width="5.7109375" style="180" customWidth="1"/>
    <col min="12290" max="12290" width="5.42578125" style="180" customWidth="1"/>
    <col min="12291" max="12291" width="29.85546875" style="180" customWidth="1"/>
    <col min="12292" max="12292" width="37.7109375" style="180" customWidth="1"/>
    <col min="12293" max="12293" width="17.140625" style="180" customWidth="1"/>
    <col min="12294" max="12294" width="0" style="180" hidden="1" customWidth="1"/>
    <col min="12295" max="12295" width="19" style="180" customWidth="1"/>
    <col min="12296" max="12296" width="9.140625" style="180"/>
    <col min="12297" max="12297" width="11" style="180" bestFit="1" customWidth="1"/>
    <col min="12298" max="12298" width="14.42578125" style="180" bestFit="1" customWidth="1"/>
    <col min="12299" max="12544" width="9.140625" style="180"/>
    <col min="12545" max="12545" width="5.7109375" style="180" customWidth="1"/>
    <col min="12546" max="12546" width="5.42578125" style="180" customWidth="1"/>
    <col min="12547" max="12547" width="29.85546875" style="180" customWidth="1"/>
    <col min="12548" max="12548" width="37.7109375" style="180" customWidth="1"/>
    <col min="12549" max="12549" width="17.140625" style="180" customWidth="1"/>
    <col min="12550" max="12550" width="0" style="180" hidden="1" customWidth="1"/>
    <col min="12551" max="12551" width="19" style="180" customWidth="1"/>
    <col min="12552" max="12552" width="9.140625" style="180"/>
    <col min="12553" max="12553" width="11" style="180" bestFit="1" customWidth="1"/>
    <col min="12554" max="12554" width="14.42578125" style="180" bestFit="1" customWidth="1"/>
    <col min="12555" max="12800" width="9.140625" style="180"/>
    <col min="12801" max="12801" width="5.7109375" style="180" customWidth="1"/>
    <col min="12802" max="12802" width="5.42578125" style="180" customWidth="1"/>
    <col min="12803" max="12803" width="29.85546875" style="180" customWidth="1"/>
    <col min="12804" max="12804" width="37.7109375" style="180" customWidth="1"/>
    <col min="12805" max="12805" width="17.140625" style="180" customWidth="1"/>
    <col min="12806" max="12806" width="0" style="180" hidden="1" customWidth="1"/>
    <col min="12807" max="12807" width="19" style="180" customWidth="1"/>
    <col min="12808" max="12808" width="9.140625" style="180"/>
    <col min="12809" max="12809" width="11" style="180" bestFit="1" customWidth="1"/>
    <col min="12810" max="12810" width="14.42578125" style="180" bestFit="1" customWidth="1"/>
    <col min="12811" max="13056" width="9.140625" style="180"/>
    <col min="13057" max="13057" width="5.7109375" style="180" customWidth="1"/>
    <col min="13058" max="13058" width="5.42578125" style="180" customWidth="1"/>
    <col min="13059" max="13059" width="29.85546875" style="180" customWidth="1"/>
    <col min="13060" max="13060" width="37.7109375" style="180" customWidth="1"/>
    <col min="13061" max="13061" width="17.140625" style="180" customWidth="1"/>
    <col min="13062" max="13062" width="0" style="180" hidden="1" customWidth="1"/>
    <col min="13063" max="13063" width="19" style="180" customWidth="1"/>
    <col min="13064" max="13064" width="9.140625" style="180"/>
    <col min="13065" max="13065" width="11" style="180" bestFit="1" customWidth="1"/>
    <col min="13066" max="13066" width="14.42578125" style="180" bestFit="1" customWidth="1"/>
    <col min="13067" max="13312" width="9.140625" style="180"/>
    <col min="13313" max="13313" width="5.7109375" style="180" customWidth="1"/>
    <col min="13314" max="13314" width="5.42578125" style="180" customWidth="1"/>
    <col min="13315" max="13315" width="29.85546875" style="180" customWidth="1"/>
    <col min="13316" max="13316" width="37.7109375" style="180" customWidth="1"/>
    <col min="13317" max="13317" width="17.140625" style="180" customWidth="1"/>
    <col min="13318" max="13318" width="0" style="180" hidden="1" customWidth="1"/>
    <col min="13319" max="13319" width="19" style="180" customWidth="1"/>
    <col min="13320" max="13320" width="9.140625" style="180"/>
    <col min="13321" max="13321" width="11" style="180" bestFit="1" customWidth="1"/>
    <col min="13322" max="13322" width="14.42578125" style="180" bestFit="1" customWidth="1"/>
    <col min="13323" max="13568" width="9.140625" style="180"/>
    <col min="13569" max="13569" width="5.7109375" style="180" customWidth="1"/>
    <col min="13570" max="13570" width="5.42578125" style="180" customWidth="1"/>
    <col min="13571" max="13571" width="29.85546875" style="180" customWidth="1"/>
    <col min="13572" max="13572" width="37.7109375" style="180" customWidth="1"/>
    <col min="13573" max="13573" width="17.140625" style="180" customWidth="1"/>
    <col min="13574" max="13574" width="0" style="180" hidden="1" customWidth="1"/>
    <col min="13575" max="13575" width="19" style="180" customWidth="1"/>
    <col min="13576" max="13576" width="9.140625" style="180"/>
    <col min="13577" max="13577" width="11" style="180" bestFit="1" customWidth="1"/>
    <col min="13578" max="13578" width="14.42578125" style="180" bestFit="1" customWidth="1"/>
    <col min="13579" max="13824" width="9.140625" style="180"/>
    <col min="13825" max="13825" width="5.7109375" style="180" customWidth="1"/>
    <col min="13826" max="13826" width="5.42578125" style="180" customWidth="1"/>
    <col min="13827" max="13827" width="29.85546875" style="180" customWidth="1"/>
    <col min="13828" max="13828" width="37.7109375" style="180" customWidth="1"/>
    <col min="13829" max="13829" width="17.140625" style="180" customWidth="1"/>
    <col min="13830" max="13830" width="0" style="180" hidden="1" customWidth="1"/>
    <col min="13831" max="13831" width="19" style="180" customWidth="1"/>
    <col min="13832" max="13832" width="9.140625" style="180"/>
    <col min="13833" max="13833" width="11" style="180" bestFit="1" customWidth="1"/>
    <col min="13834" max="13834" width="14.42578125" style="180" bestFit="1" customWidth="1"/>
    <col min="13835" max="14080" width="9.140625" style="180"/>
    <col min="14081" max="14081" width="5.7109375" style="180" customWidth="1"/>
    <col min="14082" max="14082" width="5.42578125" style="180" customWidth="1"/>
    <col min="14083" max="14083" width="29.85546875" style="180" customWidth="1"/>
    <col min="14084" max="14084" width="37.7109375" style="180" customWidth="1"/>
    <col min="14085" max="14085" width="17.140625" style="180" customWidth="1"/>
    <col min="14086" max="14086" width="0" style="180" hidden="1" customWidth="1"/>
    <col min="14087" max="14087" width="19" style="180" customWidth="1"/>
    <col min="14088" max="14088" width="9.140625" style="180"/>
    <col min="14089" max="14089" width="11" style="180" bestFit="1" customWidth="1"/>
    <col min="14090" max="14090" width="14.42578125" style="180" bestFit="1" customWidth="1"/>
    <col min="14091" max="14336" width="9.140625" style="180"/>
    <col min="14337" max="14337" width="5.7109375" style="180" customWidth="1"/>
    <col min="14338" max="14338" width="5.42578125" style="180" customWidth="1"/>
    <col min="14339" max="14339" width="29.85546875" style="180" customWidth="1"/>
    <col min="14340" max="14340" width="37.7109375" style="180" customWidth="1"/>
    <col min="14341" max="14341" width="17.140625" style="180" customWidth="1"/>
    <col min="14342" max="14342" width="0" style="180" hidden="1" customWidth="1"/>
    <col min="14343" max="14343" width="19" style="180" customWidth="1"/>
    <col min="14344" max="14344" width="9.140625" style="180"/>
    <col min="14345" max="14345" width="11" style="180" bestFit="1" customWidth="1"/>
    <col min="14346" max="14346" width="14.42578125" style="180" bestFit="1" customWidth="1"/>
    <col min="14347" max="14592" width="9.140625" style="180"/>
    <col min="14593" max="14593" width="5.7109375" style="180" customWidth="1"/>
    <col min="14594" max="14594" width="5.42578125" style="180" customWidth="1"/>
    <col min="14595" max="14595" width="29.85546875" style="180" customWidth="1"/>
    <col min="14596" max="14596" width="37.7109375" style="180" customWidth="1"/>
    <col min="14597" max="14597" width="17.140625" style="180" customWidth="1"/>
    <col min="14598" max="14598" width="0" style="180" hidden="1" customWidth="1"/>
    <col min="14599" max="14599" width="19" style="180" customWidth="1"/>
    <col min="14600" max="14600" width="9.140625" style="180"/>
    <col min="14601" max="14601" width="11" style="180" bestFit="1" customWidth="1"/>
    <col min="14602" max="14602" width="14.42578125" style="180" bestFit="1" customWidth="1"/>
    <col min="14603" max="14848" width="9.140625" style="180"/>
    <col min="14849" max="14849" width="5.7109375" style="180" customWidth="1"/>
    <col min="14850" max="14850" width="5.42578125" style="180" customWidth="1"/>
    <col min="14851" max="14851" width="29.85546875" style="180" customWidth="1"/>
    <col min="14852" max="14852" width="37.7109375" style="180" customWidth="1"/>
    <col min="14853" max="14853" width="17.140625" style="180" customWidth="1"/>
    <col min="14854" max="14854" width="0" style="180" hidden="1" customWidth="1"/>
    <col min="14855" max="14855" width="19" style="180" customWidth="1"/>
    <col min="14856" max="14856" width="9.140625" style="180"/>
    <col min="14857" max="14857" width="11" style="180" bestFit="1" customWidth="1"/>
    <col min="14858" max="14858" width="14.42578125" style="180" bestFit="1" customWidth="1"/>
    <col min="14859" max="15104" width="9.140625" style="180"/>
    <col min="15105" max="15105" width="5.7109375" style="180" customWidth="1"/>
    <col min="15106" max="15106" width="5.42578125" style="180" customWidth="1"/>
    <col min="15107" max="15107" width="29.85546875" style="180" customWidth="1"/>
    <col min="15108" max="15108" width="37.7109375" style="180" customWidth="1"/>
    <col min="15109" max="15109" width="17.140625" style="180" customWidth="1"/>
    <col min="15110" max="15110" width="0" style="180" hidden="1" customWidth="1"/>
    <col min="15111" max="15111" width="19" style="180" customWidth="1"/>
    <col min="15112" max="15112" width="9.140625" style="180"/>
    <col min="15113" max="15113" width="11" style="180" bestFit="1" customWidth="1"/>
    <col min="15114" max="15114" width="14.42578125" style="180" bestFit="1" customWidth="1"/>
    <col min="15115" max="15360" width="9.140625" style="180"/>
    <col min="15361" max="15361" width="5.7109375" style="180" customWidth="1"/>
    <col min="15362" max="15362" width="5.42578125" style="180" customWidth="1"/>
    <col min="15363" max="15363" width="29.85546875" style="180" customWidth="1"/>
    <col min="15364" max="15364" width="37.7109375" style="180" customWidth="1"/>
    <col min="15365" max="15365" width="17.140625" style="180" customWidth="1"/>
    <col min="15366" max="15366" width="0" style="180" hidden="1" customWidth="1"/>
    <col min="15367" max="15367" width="19" style="180" customWidth="1"/>
    <col min="15368" max="15368" width="9.140625" style="180"/>
    <col min="15369" max="15369" width="11" style="180" bestFit="1" customWidth="1"/>
    <col min="15370" max="15370" width="14.42578125" style="180" bestFit="1" customWidth="1"/>
    <col min="15371" max="15616" width="9.140625" style="180"/>
    <col min="15617" max="15617" width="5.7109375" style="180" customWidth="1"/>
    <col min="15618" max="15618" width="5.42578125" style="180" customWidth="1"/>
    <col min="15619" max="15619" width="29.85546875" style="180" customWidth="1"/>
    <col min="15620" max="15620" width="37.7109375" style="180" customWidth="1"/>
    <col min="15621" max="15621" width="17.140625" style="180" customWidth="1"/>
    <col min="15622" max="15622" width="0" style="180" hidden="1" customWidth="1"/>
    <col min="15623" max="15623" width="19" style="180" customWidth="1"/>
    <col min="15624" max="15624" width="9.140625" style="180"/>
    <col min="15625" max="15625" width="11" style="180" bestFit="1" customWidth="1"/>
    <col min="15626" max="15626" width="14.42578125" style="180" bestFit="1" customWidth="1"/>
    <col min="15627" max="15872" width="9.140625" style="180"/>
    <col min="15873" max="15873" width="5.7109375" style="180" customWidth="1"/>
    <col min="15874" max="15874" width="5.42578125" style="180" customWidth="1"/>
    <col min="15875" max="15875" width="29.85546875" style="180" customWidth="1"/>
    <col min="15876" max="15876" width="37.7109375" style="180" customWidth="1"/>
    <col min="15877" max="15877" width="17.140625" style="180" customWidth="1"/>
    <col min="15878" max="15878" width="0" style="180" hidden="1" customWidth="1"/>
    <col min="15879" max="15879" width="19" style="180" customWidth="1"/>
    <col min="15880" max="15880" width="9.140625" style="180"/>
    <col min="15881" max="15881" width="11" style="180" bestFit="1" customWidth="1"/>
    <col min="15882" max="15882" width="14.42578125" style="180" bestFit="1" customWidth="1"/>
    <col min="15883" max="16128" width="9.140625" style="180"/>
    <col min="16129" max="16129" width="5.7109375" style="180" customWidth="1"/>
    <col min="16130" max="16130" width="5.42578125" style="180" customWidth="1"/>
    <col min="16131" max="16131" width="29.85546875" style="180" customWidth="1"/>
    <col min="16132" max="16132" width="37.7109375" style="180" customWidth="1"/>
    <col min="16133" max="16133" width="17.140625" style="180" customWidth="1"/>
    <col min="16134" max="16134" width="0" style="180" hidden="1" customWidth="1"/>
    <col min="16135" max="16135" width="19" style="180" customWidth="1"/>
    <col min="16136" max="16136" width="9.140625" style="180"/>
    <col min="16137" max="16137" width="11" style="180" bestFit="1" customWidth="1"/>
    <col min="16138" max="16138" width="14.42578125" style="180" bestFit="1" customWidth="1"/>
    <col min="16139" max="16384" width="9.140625" style="180"/>
  </cols>
  <sheetData>
    <row r="1" spans="2:10" ht="21" x14ac:dyDescent="0.2">
      <c r="E1" s="181" t="s">
        <v>0</v>
      </c>
      <c r="F1" s="182"/>
    </row>
    <row r="2" spans="2:10" ht="21" x14ac:dyDescent="0.2">
      <c r="E2" s="181" t="s">
        <v>1</v>
      </c>
      <c r="F2" s="182"/>
    </row>
    <row r="3" spans="2:10" ht="21" x14ac:dyDescent="0.2">
      <c r="D3" s="184"/>
      <c r="E3" s="181" t="s">
        <v>354</v>
      </c>
      <c r="F3" s="182"/>
    </row>
    <row r="5" spans="2:10" ht="51.75" customHeight="1" x14ac:dyDescent="0.2">
      <c r="C5" s="390" t="s">
        <v>373</v>
      </c>
      <c r="D5" s="390"/>
      <c r="E5" s="390"/>
      <c r="F5" s="390"/>
      <c r="G5" s="390"/>
    </row>
    <row r="6" spans="2:10" ht="24.75" customHeight="1" x14ac:dyDescent="0.2">
      <c r="B6" s="185"/>
      <c r="C6" s="186" t="s">
        <v>3</v>
      </c>
      <c r="D6" s="391" t="s">
        <v>374</v>
      </c>
      <c r="E6" s="392"/>
      <c r="F6" s="392"/>
      <c r="G6" s="393"/>
    </row>
    <row r="7" spans="2:10" ht="61.5" customHeight="1" x14ac:dyDescent="0.2">
      <c r="B7" s="185"/>
      <c r="C7" s="186" t="s">
        <v>4</v>
      </c>
      <c r="D7" s="394" t="s">
        <v>5</v>
      </c>
      <c r="E7" s="395"/>
      <c r="F7" s="395"/>
      <c r="G7" s="396"/>
    </row>
    <row r="8" spans="2:10" ht="22.5" customHeight="1" x14ac:dyDescent="0.2">
      <c r="B8" s="185"/>
      <c r="C8" s="186" t="s">
        <v>6</v>
      </c>
      <c r="D8" s="397">
        <v>9</v>
      </c>
      <c r="E8" s="395"/>
      <c r="F8" s="395"/>
      <c r="G8" s="396"/>
    </row>
    <row r="9" spans="2:10" ht="22.5" customHeight="1" x14ac:dyDescent="0.2">
      <c r="B9" s="185"/>
      <c r="C9" s="186" t="s">
        <v>7</v>
      </c>
      <c r="D9" s="394">
        <f>Предлагаемый!E11</f>
        <v>0</v>
      </c>
      <c r="E9" s="395"/>
      <c r="F9" s="395"/>
      <c r="G9" s="396"/>
    </row>
    <row r="10" spans="2:10" x14ac:dyDescent="0.2">
      <c r="B10" s="185"/>
      <c r="C10" s="187" t="s">
        <v>9</v>
      </c>
      <c r="D10" s="400" t="s">
        <v>68</v>
      </c>
      <c r="E10" s="403">
        <v>2909.5</v>
      </c>
      <c r="F10" s="404"/>
      <c r="G10" s="405"/>
    </row>
    <row r="11" spans="2:10" x14ac:dyDescent="0.2">
      <c r="B11" s="185"/>
      <c r="C11" s="188" t="s">
        <v>69</v>
      </c>
      <c r="D11" s="401"/>
      <c r="E11" s="406">
        <v>2829.5</v>
      </c>
      <c r="F11" s="407"/>
      <c r="G11" s="408"/>
    </row>
    <row r="12" spans="2:10" x14ac:dyDescent="0.2">
      <c r="B12" s="185"/>
      <c r="C12" s="188" t="s">
        <v>70</v>
      </c>
      <c r="D12" s="401"/>
      <c r="E12" s="406">
        <v>79.900000000000006</v>
      </c>
      <c r="F12" s="407"/>
      <c r="G12" s="408"/>
    </row>
    <row r="13" spans="2:10" ht="76.5" customHeight="1" x14ac:dyDescent="0.2">
      <c r="B13" s="189" t="s">
        <v>71</v>
      </c>
      <c r="C13" s="190" t="s">
        <v>72</v>
      </c>
      <c r="D13" s="402"/>
      <c r="E13" s="187" t="s">
        <v>355</v>
      </c>
      <c r="F13" s="187"/>
      <c r="G13" s="187" t="s">
        <v>356</v>
      </c>
    </row>
    <row r="14" spans="2:10" ht="24.75" customHeight="1" x14ac:dyDescent="0.2">
      <c r="B14" s="191" t="s">
        <v>257</v>
      </c>
      <c r="C14" s="378" t="s">
        <v>16</v>
      </c>
      <c r="D14" s="379"/>
      <c r="E14" s="192">
        <f>E15+E22+E31</f>
        <v>257498.31914712157</v>
      </c>
      <c r="F14" s="192">
        <f>F15+F22+F31</f>
        <v>0</v>
      </c>
      <c r="G14" s="192">
        <f>G15+G22+G31</f>
        <v>7.3752167940402575</v>
      </c>
      <c r="J14" s="180">
        <f>J15+J22+J31</f>
        <v>1</v>
      </c>
    </row>
    <row r="15" spans="2:10" ht="23.25" customHeight="1" x14ac:dyDescent="0.2">
      <c r="B15" s="193" t="s">
        <v>215</v>
      </c>
      <c r="C15" s="398" t="s">
        <v>353</v>
      </c>
      <c r="D15" s="399"/>
      <c r="E15" s="194">
        <f>SUM(E16:E21)</f>
        <v>30202.221578818786</v>
      </c>
      <c r="F15" s="194">
        <f>SUM(F16:F21)</f>
        <v>0</v>
      </c>
      <c r="G15" s="194">
        <f>SUM(G16:G21)</f>
        <v>0.86504615852720346</v>
      </c>
      <c r="J15" s="180">
        <f>J16+J17+J18+J19+J20+J21</f>
        <v>0.11979057784540337</v>
      </c>
    </row>
    <row r="16" spans="2:10" ht="30.75" customHeight="1" x14ac:dyDescent="0.2">
      <c r="B16" s="195" t="s">
        <v>216</v>
      </c>
      <c r="C16" s="196" t="s">
        <v>343</v>
      </c>
      <c r="D16" s="196" t="s">
        <v>217</v>
      </c>
      <c r="E16" s="197">
        <f>Предлагаемый!$D$17*12*'!!!Периодичность 2(не забываем)'!J16</f>
        <v>779.45868298408254</v>
      </c>
      <c r="F16" s="187"/>
      <c r="G16" s="198">
        <f>E16/$E$10/12</f>
        <v>2.2325104055223765E-2</v>
      </c>
      <c r="J16" s="180">
        <v>3.0915542354262842E-3</v>
      </c>
    </row>
    <row r="17" spans="2:10" ht="58.5" customHeight="1" x14ac:dyDescent="0.2">
      <c r="B17" s="195" t="s">
        <v>218</v>
      </c>
      <c r="C17" s="196" t="s">
        <v>219</v>
      </c>
      <c r="D17" s="196" t="s">
        <v>217</v>
      </c>
      <c r="E17" s="197">
        <f>Предлагаемый!$D$17*12*'!!!Периодичность 2(не забываем)'!J17</f>
        <v>5239.5136731278681</v>
      </c>
      <c r="F17" s="187"/>
      <c r="G17" s="198">
        <f t="shared" ref="G17:G21" si="0">E17/$E$10/12</f>
        <v>0.15006913195646068</v>
      </c>
      <c r="J17" s="180">
        <v>2.0781397451009185E-2</v>
      </c>
    </row>
    <row r="18" spans="2:10" ht="35.25" customHeight="1" x14ac:dyDescent="0.2">
      <c r="B18" s="195" t="s">
        <v>220</v>
      </c>
      <c r="C18" s="196" t="s">
        <v>222</v>
      </c>
      <c r="D18" s="196" t="s">
        <v>258</v>
      </c>
      <c r="E18" s="197">
        <f>Предлагаемый!$D$17*12*'!!!Периодичность 2(не забываем)'!J18</f>
        <v>10479.027346255736</v>
      </c>
      <c r="F18" s="187"/>
      <c r="G18" s="198">
        <f t="shared" si="0"/>
        <v>0.30013826391292137</v>
      </c>
      <c r="J18" s="180">
        <v>4.156279490201837E-2</v>
      </c>
    </row>
    <row r="19" spans="2:10" ht="30.75" customHeight="1" x14ac:dyDescent="0.2">
      <c r="B19" s="195" t="s">
        <v>221</v>
      </c>
      <c r="C19" s="196" t="s">
        <v>224</v>
      </c>
      <c r="D19" s="196" t="s">
        <v>104</v>
      </c>
      <c r="E19" s="197">
        <f>Предлагаемый!$D$17*12*'!!!Периодичность 2(не забываем)'!J19</f>
        <v>9647.3412895435195</v>
      </c>
      <c r="F19" s="187"/>
      <c r="G19" s="198">
        <f t="shared" si="0"/>
        <v>0.27631727357345248</v>
      </c>
      <c r="J19" s="180">
        <v>3.8264092087739572E-2</v>
      </c>
    </row>
    <row r="20" spans="2:10" ht="31.5" customHeight="1" x14ac:dyDescent="0.2">
      <c r="B20" s="195" t="s">
        <v>223</v>
      </c>
      <c r="C20" s="196" t="s">
        <v>226</v>
      </c>
      <c r="D20" s="196" t="s">
        <v>104</v>
      </c>
      <c r="E20" s="197">
        <f>Предлагаемый!$D$17*12*'!!!Периодичность 2(не забываем)'!J20</f>
        <v>3143.7082038767203</v>
      </c>
      <c r="F20" s="187"/>
      <c r="G20" s="198">
        <f t="shared" si="0"/>
        <v>9.0041479173876393E-2</v>
      </c>
      <c r="J20" s="180">
        <v>1.2468838470605509E-2</v>
      </c>
    </row>
    <row r="21" spans="2:10" ht="37.5" customHeight="1" x14ac:dyDescent="0.2">
      <c r="B21" s="195" t="s">
        <v>225</v>
      </c>
      <c r="C21" s="196" t="s">
        <v>344</v>
      </c>
      <c r="D21" s="196" t="s">
        <v>104</v>
      </c>
      <c r="E21" s="197">
        <f>Предлагаемый!$D$17*12*'!!!Периодичность 2(не забываем)'!J21</f>
        <v>913.17238303085674</v>
      </c>
      <c r="F21" s="187"/>
      <c r="G21" s="198">
        <f t="shared" si="0"/>
        <v>2.6154905855268851E-2</v>
      </c>
      <c r="J21" s="180">
        <v>3.6219006986044568E-3</v>
      </c>
    </row>
    <row r="22" spans="2:10" ht="25.5" customHeight="1" x14ac:dyDescent="0.2">
      <c r="B22" s="193" t="s">
        <v>227</v>
      </c>
      <c r="C22" s="398" t="s">
        <v>228</v>
      </c>
      <c r="D22" s="399"/>
      <c r="E22" s="194">
        <f>SUM(E23:E30)</f>
        <v>105776.92824652592</v>
      </c>
      <c r="F22" s="194">
        <f>SUM(F23:F30)</f>
        <v>0</v>
      </c>
      <c r="G22" s="194">
        <f>SUM(G23:G30)</f>
        <v>3.0296422136256496</v>
      </c>
      <c r="J22" s="180">
        <f>J23+J24+J25+J26+J28+J29+J27</f>
        <v>0.39822992689263303</v>
      </c>
    </row>
    <row r="23" spans="2:10" ht="46.5" customHeight="1" x14ac:dyDescent="0.2">
      <c r="B23" s="195" t="s">
        <v>229</v>
      </c>
      <c r="C23" s="196" t="s">
        <v>230</v>
      </c>
      <c r="D23" s="196" t="s">
        <v>231</v>
      </c>
      <c r="E23" s="197">
        <f>Предлагаемый!$D$17*12*'!!!Периодичность 2(не забываем)'!J23</f>
        <v>15275.063372490642</v>
      </c>
      <c r="F23" s="187"/>
      <c r="G23" s="198">
        <f>E23/$E$10/12</f>
        <v>0.4375053953282535</v>
      </c>
      <c r="J23" s="180">
        <v>6.0585234210025103E-2</v>
      </c>
    </row>
    <row r="24" spans="2:10" ht="45" customHeight="1" x14ac:dyDescent="0.2">
      <c r="B24" s="195" t="s">
        <v>232</v>
      </c>
      <c r="C24" s="196" t="s">
        <v>233</v>
      </c>
      <c r="D24" s="196" t="s">
        <v>234</v>
      </c>
      <c r="E24" s="197">
        <f>Предлагаемый!$D$17*12*'!!!Периодичность 2(не забываем)'!J24</f>
        <v>920.25128772266658</v>
      </c>
      <c r="F24" s="187"/>
      <c r="G24" s="198">
        <f>E24/$E$10/12</f>
        <v>2.635765846716694E-2</v>
      </c>
      <c r="J24" s="180">
        <v>3.6499776425912242E-3</v>
      </c>
    </row>
    <row r="25" spans="2:10" ht="45" customHeight="1" x14ac:dyDescent="0.2">
      <c r="B25" s="195" t="s">
        <v>235</v>
      </c>
      <c r="C25" s="196" t="s">
        <v>236</v>
      </c>
      <c r="D25" s="196" t="s">
        <v>237</v>
      </c>
      <c r="E25" s="383">
        <f>Предлагаемый!$D$17*12*'!!!Периодичность 2(не забываем)'!J25</f>
        <v>69274.200445141541</v>
      </c>
      <c r="F25" s="187"/>
      <c r="G25" s="385">
        <f>E25/$E$10/12</f>
        <v>1.9841381808197724</v>
      </c>
      <c r="J25" s="380">
        <v>0.27476112905951194</v>
      </c>
    </row>
    <row r="26" spans="2:10" ht="34.5" customHeight="1" x14ac:dyDescent="0.2">
      <c r="B26" s="195" t="s">
        <v>238</v>
      </c>
      <c r="C26" s="196" t="s">
        <v>239</v>
      </c>
      <c r="D26" s="196" t="s">
        <v>240</v>
      </c>
      <c r="E26" s="384"/>
      <c r="F26" s="187"/>
      <c r="G26" s="386"/>
      <c r="J26" s="380"/>
    </row>
    <row r="27" spans="2:10" ht="35.25" customHeight="1" x14ac:dyDescent="0.2">
      <c r="B27" s="195" t="s">
        <v>241</v>
      </c>
      <c r="C27" s="196" t="s">
        <v>242</v>
      </c>
      <c r="D27" s="196"/>
      <c r="E27" s="197">
        <f>Предлагаемый!$D$17*12*'!!!Периодичность 2(не забываем)'!J27</f>
        <v>7919.1506659561201</v>
      </c>
      <c r="F27" s="187"/>
      <c r="G27" s="198">
        <f t="shared" ref="G27:G30" si="1">E27/$E$10/12</f>
        <v>0.22681877372847914</v>
      </c>
      <c r="J27" s="199">
        <v>3.1409597861668165E-2</v>
      </c>
    </row>
    <row r="28" spans="2:10" ht="28.5" customHeight="1" x14ac:dyDescent="0.2">
      <c r="B28" s="195" t="s">
        <v>243</v>
      </c>
      <c r="C28" s="196" t="s">
        <v>244</v>
      </c>
      <c r="D28" s="196" t="s">
        <v>77</v>
      </c>
      <c r="E28" s="197">
        <f>Предлагаемый!$D$17*12*'!!!Периодичность 2(не забываем)'!J28</f>
        <v>3117.8347319363302</v>
      </c>
      <c r="F28" s="187"/>
      <c r="G28" s="198">
        <f t="shared" si="1"/>
        <v>8.930041622089506E-2</v>
      </c>
      <c r="J28" s="180">
        <v>1.2366216941705137E-2</v>
      </c>
    </row>
    <row r="29" spans="2:10" ht="60" customHeight="1" x14ac:dyDescent="0.2">
      <c r="B29" s="195" t="s">
        <v>245</v>
      </c>
      <c r="C29" s="196" t="s">
        <v>345</v>
      </c>
      <c r="D29" s="196" t="s">
        <v>246</v>
      </c>
      <c r="E29" s="197">
        <f>Предлагаемый!$D$17*12*'!!!Периодичность 2(не забываем)'!J29+Предлагаемый!D30*12</f>
        <v>9270.4277432786221</v>
      </c>
      <c r="F29" s="187"/>
      <c r="G29" s="198">
        <f t="shared" si="1"/>
        <v>0.26552178906108215</v>
      </c>
      <c r="J29" s="180">
        <v>1.5457771177131418E-2</v>
      </c>
    </row>
    <row r="30" spans="2:10" ht="21.75" customHeight="1" x14ac:dyDescent="0.2">
      <c r="B30" s="195" t="s">
        <v>247</v>
      </c>
      <c r="C30" s="196" t="s">
        <v>346</v>
      </c>
      <c r="D30" s="196" t="s">
        <v>259</v>
      </c>
      <c r="E30" s="197">
        <f>Предлагаемый!D37*12</f>
        <v>0</v>
      </c>
      <c r="F30" s="187"/>
      <c r="G30" s="198">
        <f t="shared" si="1"/>
        <v>0</v>
      </c>
      <c r="J30" s="180">
        <v>0</v>
      </c>
    </row>
    <row r="31" spans="2:10" ht="36" customHeight="1" x14ac:dyDescent="0.2">
      <c r="B31" s="200" t="s">
        <v>248</v>
      </c>
      <c r="C31" s="381" t="s">
        <v>352</v>
      </c>
      <c r="D31" s="382"/>
      <c r="E31" s="194">
        <f>Предлагаемый!$D$17*12*'!!!Периодичность 2(не забываем)'!J31</f>
        <v>121519.16932177686</v>
      </c>
      <c r="F31" s="194">
        <f>Предлагаемый!$D$17*12*'!!!Периодичность 2(не забываем)'!K31</f>
        <v>0</v>
      </c>
      <c r="G31" s="194">
        <f>E31/E10/12</f>
        <v>3.4805284218874051</v>
      </c>
      <c r="J31" s="180">
        <v>0.48197949526196365</v>
      </c>
    </row>
    <row r="32" spans="2:10" ht="23.25" customHeight="1" x14ac:dyDescent="0.2">
      <c r="B32" s="201"/>
      <c r="C32" s="372" t="s">
        <v>249</v>
      </c>
      <c r="D32" s="373"/>
      <c r="E32" s="373"/>
      <c r="F32" s="373"/>
      <c r="G32" s="374"/>
    </row>
    <row r="33" spans="2:20" ht="20.25" customHeight="1" x14ac:dyDescent="0.2">
      <c r="B33" s="202"/>
      <c r="C33" s="372" t="s">
        <v>250</v>
      </c>
      <c r="D33" s="373" t="s">
        <v>250</v>
      </c>
      <c r="E33" s="373"/>
      <c r="F33" s="373"/>
      <c r="G33" s="374"/>
    </row>
    <row r="34" spans="2:20" ht="22.5" customHeight="1" x14ac:dyDescent="0.2">
      <c r="B34" s="202"/>
      <c r="C34" s="372" t="s">
        <v>251</v>
      </c>
      <c r="D34" s="373" t="s">
        <v>251</v>
      </c>
      <c r="E34" s="373"/>
      <c r="F34" s="373"/>
      <c r="G34" s="374"/>
    </row>
    <row r="35" spans="2:20" ht="18.75" customHeight="1" x14ac:dyDescent="0.2">
      <c r="B35" s="202"/>
      <c r="C35" s="372" t="s">
        <v>347</v>
      </c>
      <c r="D35" s="373" t="s">
        <v>252</v>
      </c>
      <c r="E35" s="373"/>
      <c r="F35" s="373"/>
      <c r="G35" s="374"/>
    </row>
    <row r="36" spans="2:20" ht="31.5" customHeight="1" x14ac:dyDescent="0.2">
      <c r="B36" s="202"/>
      <c r="C36" s="372" t="s">
        <v>348</v>
      </c>
      <c r="D36" s="373" t="s">
        <v>348</v>
      </c>
      <c r="E36" s="373"/>
      <c r="F36" s="373"/>
      <c r="G36" s="374"/>
    </row>
    <row r="37" spans="2:20" ht="21" customHeight="1" x14ac:dyDescent="0.2">
      <c r="B37" s="202"/>
      <c r="C37" s="372" t="s">
        <v>349</v>
      </c>
      <c r="D37" s="373" t="s">
        <v>349</v>
      </c>
      <c r="E37" s="373"/>
      <c r="F37" s="373"/>
      <c r="G37" s="374"/>
    </row>
    <row r="38" spans="2:20" ht="20.25" customHeight="1" x14ac:dyDescent="0.2">
      <c r="B38" s="202"/>
      <c r="C38" s="372" t="s">
        <v>253</v>
      </c>
      <c r="D38" s="373" t="s">
        <v>253</v>
      </c>
      <c r="E38" s="373"/>
      <c r="F38" s="373"/>
      <c r="G38" s="374"/>
    </row>
    <row r="39" spans="2:20" ht="45" customHeight="1" x14ac:dyDescent="0.2">
      <c r="B39" s="202"/>
      <c r="C39" s="372" t="s">
        <v>350</v>
      </c>
      <c r="D39" s="373" t="s">
        <v>350</v>
      </c>
      <c r="E39" s="373"/>
      <c r="F39" s="373"/>
      <c r="G39" s="374"/>
    </row>
    <row r="40" spans="2:20" ht="54" customHeight="1" x14ac:dyDescent="0.2">
      <c r="B40" s="202"/>
      <c r="C40" s="372" t="s">
        <v>254</v>
      </c>
      <c r="D40" s="373" t="s">
        <v>254</v>
      </c>
      <c r="E40" s="373"/>
      <c r="F40" s="373"/>
      <c r="G40" s="374"/>
    </row>
    <row r="41" spans="2:20" ht="45.75" customHeight="1" x14ac:dyDescent="0.2">
      <c r="B41" s="202"/>
      <c r="C41" s="372" t="s">
        <v>255</v>
      </c>
      <c r="D41" s="373" t="s">
        <v>255</v>
      </c>
      <c r="E41" s="373"/>
      <c r="F41" s="373"/>
      <c r="G41" s="374"/>
    </row>
    <row r="42" spans="2:20" ht="25.5" customHeight="1" x14ac:dyDescent="0.2">
      <c r="B42" s="202"/>
      <c r="C42" s="372" t="s">
        <v>256</v>
      </c>
      <c r="D42" s="373" t="s">
        <v>256</v>
      </c>
      <c r="E42" s="373"/>
      <c r="F42" s="373"/>
      <c r="G42" s="374"/>
    </row>
    <row r="43" spans="2:20" ht="96.75" customHeight="1" x14ac:dyDescent="0.2">
      <c r="B43" s="191" t="s">
        <v>73</v>
      </c>
      <c r="C43" s="203" t="s">
        <v>31</v>
      </c>
      <c r="D43" s="204" t="s">
        <v>74</v>
      </c>
      <c r="E43" s="192">
        <f>Предлагаемый!D44*12</f>
        <v>49123.998000000007</v>
      </c>
      <c r="F43" s="205"/>
      <c r="G43" s="192">
        <f>E43/$E$10/12</f>
        <v>1.4070000000000003</v>
      </c>
    </row>
    <row r="44" spans="2:20" ht="27" customHeight="1" thickBot="1" x14ac:dyDescent="0.25">
      <c r="B44" s="191">
        <v>3</v>
      </c>
      <c r="C44" s="378" t="s">
        <v>33</v>
      </c>
      <c r="D44" s="379"/>
      <c r="E44" s="192">
        <f>Предлагаемый!D50*12</f>
        <v>175357.02949253732</v>
      </c>
      <c r="F44" s="206"/>
      <c r="G44" s="192">
        <f>E44/$E$10/12</f>
        <v>5.0225419457105263</v>
      </c>
      <c r="J44" s="180">
        <f>SUM(J45:J56)</f>
        <v>0.99999999999999989</v>
      </c>
      <c r="Q44" s="207">
        <f>Q45+Q46+Q47+Q48+Q49+Q50+Q51+Q52</f>
        <v>0.24056232627629454</v>
      </c>
    </row>
    <row r="45" spans="2:20" ht="15.75" thickBot="1" x14ac:dyDescent="0.3">
      <c r="B45" s="195" t="s">
        <v>260</v>
      </c>
      <c r="C45" s="196" t="s">
        <v>281</v>
      </c>
      <c r="D45" s="196" t="s">
        <v>121</v>
      </c>
      <c r="E45" s="208">
        <f>Предлагаемый!$D$50*12*'!!!Периодичность 2(не забываем)'!J45</f>
        <v>62479.377809212296</v>
      </c>
      <c r="F45" s="208"/>
      <c r="G45" s="208">
        <f>E45/12/$E$10</f>
        <v>1.7895221919348197</v>
      </c>
      <c r="J45" s="180">
        <v>0.35629810786610772</v>
      </c>
      <c r="K45" s="209" t="s">
        <v>319</v>
      </c>
      <c r="L45" s="210"/>
      <c r="M45" s="211">
        <f>0.44299674267101*G55</f>
        <v>3.0107925691651403E-3</v>
      </c>
      <c r="O45" s="212" t="s">
        <v>320</v>
      </c>
      <c r="P45" s="213">
        <v>0.12101063829787236</v>
      </c>
      <c r="Q45" s="214">
        <f>P45*$G$56</f>
        <v>2.9110600653115434E-2</v>
      </c>
      <c r="S45" s="215" t="s">
        <v>307</v>
      </c>
      <c r="T45" s="216"/>
    </row>
    <row r="46" spans="2:20" ht="15.75" thickBot="1" x14ac:dyDescent="0.3">
      <c r="B46" s="195" t="s">
        <v>261</v>
      </c>
      <c r="C46" s="196" t="s">
        <v>282</v>
      </c>
      <c r="D46" s="196" t="s">
        <v>283</v>
      </c>
      <c r="E46" s="208">
        <f>Предлагаемый!$D$50*12*'!!!Периодичность 2(не забываем)'!J46</f>
        <v>59593.201221424228</v>
      </c>
      <c r="F46" s="208"/>
      <c r="G46" s="208">
        <f t="shared" ref="G46:G57" si="2">E46/12/$E$10</f>
        <v>1.7068568832395092</v>
      </c>
      <c r="J46" s="180">
        <v>0.33983924906734542</v>
      </c>
      <c r="K46" s="217" t="s">
        <v>321</v>
      </c>
      <c r="L46" s="218"/>
      <c r="M46" s="166">
        <f>0.55700325732899*G55</f>
        <v>3.7856288921120479E-3</v>
      </c>
      <c r="O46" s="212" t="s">
        <v>322</v>
      </c>
      <c r="P46" s="213">
        <v>0.18218085106382981</v>
      </c>
      <c r="Q46" s="214">
        <f t="shared" ref="Q46:Q52" si="3">P46*$G$56</f>
        <v>4.3825849334910044E-2</v>
      </c>
      <c r="S46" s="219">
        <v>0.5</v>
      </c>
      <c r="T46" s="220"/>
    </row>
    <row r="47" spans="2:20" ht="27.75" customHeight="1" thickBot="1" x14ac:dyDescent="0.25">
      <c r="B47" s="195" t="s">
        <v>262</v>
      </c>
      <c r="C47" s="196" t="s">
        <v>115</v>
      </c>
      <c r="D47" s="196" t="s">
        <v>283</v>
      </c>
      <c r="E47" s="208">
        <f>Предлагаемый!$D$50*12*'!!!Периодичность 2(не забываем)'!J47</f>
        <v>10138.841896939661</v>
      </c>
      <c r="F47" s="208"/>
      <c r="G47" s="208">
        <f t="shared" si="2"/>
        <v>0.29039473841266139</v>
      </c>
      <c r="J47" s="180">
        <v>5.7818280375074103E-2</v>
      </c>
      <c r="K47" s="221"/>
      <c r="L47" s="222"/>
      <c r="M47" s="223">
        <f>M45+M46</f>
        <v>6.7964214612771887E-3</v>
      </c>
      <c r="O47" s="212" t="s">
        <v>323</v>
      </c>
      <c r="P47" s="213">
        <v>7.1808510638297879E-2</v>
      </c>
      <c r="Q47" s="214">
        <f t="shared" si="3"/>
        <v>1.727442236558498E-2</v>
      </c>
      <c r="S47" s="215" t="s">
        <v>269</v>
      </c>
      <c r="T47" s="216"/>
    </row>
    <row r="48" spans="2:20" ht="24.75" customHeight="1" thickBot="1" x14ac:dyDescent="0.25">
      <c r="B48" s="195" t="s">
        <v>263</v>
      </c>
      <c r="C48" s="196" t="s">
        <v>284</v>
      </c>
      <c r="D48" s="196" t="s">
        <v>75</v>
      </c>
      <c r="E48" s="208">
        <f>Предлагаемый!$D$50*12*'!!!Периодичность 2(не забываем)'!J48</f>
        <v>8963.0211839593976</v>
      </c>
      <c r="F48" s="208"/>
      <c r="G48" s="208">
        <f t="shared" si="2"/>
        <v>0.25671711015522136</v>
      </c>
      <c r="J48" s="180">
        <v>5.1112984805327333E-2</v>
      </c>
      <c r="O48" s="212" t="s">
        <v>324</v>
      </c>
      <c r="P48" s="213">
        <v>0.17420212765957449</v>
      </c>
      <c r="Q48" s="214">
        <f t="shared" si="3"/>
        <v>4.1906469072067271E-2</v>
      </c>
      <c r="S48" s="224">
        <f>3/5</f>
        <v>0.6</v>
      </c>
      <c r="T48" s="225"/>
    </row>
    <row r="49" spans="2:25" ht="24.75" customHeight="1" thickBot="1" x14ac:dyDescent="0.25">
      <c r="B49" s="195" t="s">
        <v>264</v>
      </c>
      <c r="C49" s="196" t="s">
        <v>285</v>
      </c>
      <c r="D49" s="196" t="s">
        <v>286</v>
      </c>
      <c r="E49" s="208">
        <f>Предлагаемый!$D$50*12*'!!!Периодичность 2(не забываем)'!J49</f>
        <v>20606.572067794492</v>
      </c>
      <c r="F49" s="208"/>
      <c r="G49" s="208">
        <f t="shared" si="2"/>
        <v>0.59020943082415345</v>
      </c>
      <c r="J49" s="180">
        <v>0.11751209590757494</v>
      </c>
      <c r="K49" s="226"/>
      <c r="L49" s="226"/>
      <c r="O49" s="227" t="s">
        <v>325</v>
      </c>
      <c r="P49" s="228">
        <v>0.11303191489361702</v>
      </c>
      <c r="Q49" s="214">
        <f t="shared" si="3"/>
        <v>2.7191220390272653E-2</v>
      </c>
      <c r="S49" s="215" t="s">
        <v>288</v>
      </c>
      <c r="T49" s="216"/>
    </row>
    <row r="50" spans="2:25" ht="24" customHeight="1" thickBot="1" x14ac:dyDescent="0.25">
      <c r="B50" s="195" t="s">
        <v>265</v>
      </c>
      <c r="C50" s="196" t="s">
        <v>287</v>
      </c>
      <c r="D50" s="196" t="s">
        <v>288</v>
      </c>
      <c r="E50" s="208">
        <f>Предлагаемый!$D$50*12*'!!!Периодичность 2(не забываем)'!J50</f>
        <v>355.5798394264188</v>
      </c>
      <c r="F50" s="208"/>
      <c r="G50" s="208">
        <f t="shared" si="2"/>
        <v>1.0184448628814194E-2</v>
      </c>
      <c r="J50" s="180">
        <v>2.0277478493757857E-3</v>
      </c>
      <c r="K50" s="228"/>
      <c r="L50" s="228"/>
      <c r="O50" s="212" t="s">
        <v>326</v>
      </c>
      <c r="P50" s="213">
        <v>0.10771276595744682</v>
      </c>
      <c r="Q50" s="214">
        <f t="shared" si="3"/>
        <v>2.5911633548377472E-2</v>
      </c>
      <c r="S50" s="221">
        <f>2/5</f>
        <v>0.4</v>
      </c>
      <c r="T50" s="225"/>
    </row>
    <row r="51" spans="2:25" ht="36" customHeight="1" thickBot="1" x14ac:dyDescent="0.25">
      <c r="B51" s="195" t="s">
        <v>266</v>
      </c>
      <c r="C51" s="196" t="s">
        <v>289</v>
      </c>
      <c r="D51" s="196" t="s">
        <v>75</v>
      </c>
      <c r="E51" s="208">
        <f>Предлагаемый!$D$50*12*'!!!Периодичность 2(не забываем)'!J51</f>
        <v>742.01514183410575</v>
      </c>
      <c r="F51" s="208"/>
      <c r="G51" s="208">
        <f t="shared" si="2"/>
        <v>2.125265342940098E-2</v>
      </c>
      <c r="J51" s="180">
        <v>4.2314536462063172E-3</v>
      </c>
      <c r="O51" s="212" t="s">
        <v>327</v>
      </c>
      <c r="P51" s="213">
        <v>8.5106382978723416E-2</v>
      </c>
      <c r="Q51" s="214">
        <f t="shared" si="3"/>
        <v>2.0473389470322942E-2</v>
      </c>
      <c r="S51" s="229"/>
    </row>
    <row r="52" spans="2:25" ht="23.25" customHeight="1" thickBot="1" x14ac:dyDescent="0.25">
      <c r="B52" s="195" t="s">
        <v>267</v>
      </c>
      <c r="C52" s="196" t="s">
        <v>290</v>
      </c>
      <c r="D52" s="196" t="s">
        <v>217</v>
      </c>
      <c r="E52" s="208">
        <f>Предлагаемый!$D$50*12*'!!!Периодичность 2(не забываем)'!J52</f>
        <v>2962.5882056653959</v>
      </c>
      <c r="F52" s="208"/>
      <c r="G52" s="208">
        <f>E52/12/$E$10</f>
        <v>8.4853875398562054E-2</v>
      </c>
      <c r="J52" s="180">
        <v>1.6894607614184494E-2</v>
      </c>
      <c r="O52" s="230" t="s">
        <v>328</v>
      </c>
      <c r="P52" s="222">
        <v>0.14494680851063832</v>
      </c>
      <c r="Q52" s="214">
        <f t="shared" si="3"/>
        <v>3.4868741441643758E-2</v>
      </c>
    </row>
    <row r="53" spans="2:25" ht="23.25" customHeight="1" x14ac:dyDescent="0.2">
      <c r="B53" s="195" t="s">
        <v>268</v>
      </c>
      <c r="C53" s="196" t="s">
        <v>291</v>
      </c>
      <c r="D53" s="196" t="s">
        <v>76</v>
      </c>
      <c r="E53" s="208">
        <f>Предлагаемый!$D$50*12*'!!!Периодичность 2(не забываем)'!J53</f>
        <v>879.54880777171638</v>
      </c>
      <c r="F53" s="208"/>
      <c r="G53" s="208"/>
      <c r="J53" s="180">
        <v>5.0157601911769807E-3</v>
      </c>
    </row>
    <row r="54" spans="2:25" ht="21" customHeight="1" x14ac:dyDescent="0.2">
      <c r="B54" s="195" t="s">
        <v>292</v>
      </c>
      <c r="C54" s="196" t="s">
        <v>293</v>
      </c>
      <c r="D54" s="196"/>
      <c r="E54" s="208">
        <f>E55+E56</f>
        <v>8636.2833185095787</v>
      </c>
      <c r="F54" s="208"/>
      <c r="G54" s="208">
        <f t="shared" si="2"/>
        <v>0.24735874773757169</v>
      </c>
      <c r="J54" s="180">
        <v>0</v>
      </c>
    </row>
    <row r="55" spans="2:25" ht="21" customHeight="1" x14ac:dyDescent="0.2">
      <c r="B55" s="195" t="s">
        <v>294</v>
      </c>
      <c r="C55" s="196" t="s">
        <v>295</v>
      </c>
      <c r="D55" s="196" t="s">
        <v>77</v>
      </c>
      <c r="E55" s="208">
        <f>Предлагаемый!$D$50*12*'!!!Периодичность 2(не забываем)'!J55</f>
        <v>237.29025889903176</v>
      </c>
      <c r="F55" s="208"/>
      <c r="G55" s="208">
        <f t="shared" si="2"/>
        <v>6.7964214612771879E-3</v>
      </c>
      <c r="J55" s="180">
        <v>1.353183613943062E-3</v>
      </c>
    </row>
    <row r="56" spans="2:25" ht="36" customHeight="1" thickBot="1" x14ac:dyDescent="0.25">
      <c r="B56" s="195" t="s">
        <v>294</v>
      </c>
      <c r="C56" s="196" t="s">
        <v>296</v>
      </c>
      <c r="D56" s="196" t="s">
        <v>76</v>
      </c>
      <c r="E56" s="208">
        <f>Предлагаемый!$D$50*12*'!!!Периодичность 2(не забываем)'!J56</f>
        <v>8398.9930596105478</v>
      </c>
      <c r="F56" s="208"/>
      <c r="G56" s="208">
        <f t="shared" si="2"/>
        <v>0.24056232627629454</v>
      </c>
      <c r="J56" s="180">
        <v>4.789652906368367E-2</v>
      </c>
    </row>
    <row r="57" spans="2:25" ht="23.25" customHeight="1" x14ac:dyDescent="0.25">
      <c r="B57" s="191" t="s">
        <v>274</v>
      </c>
      <c r="C57" s="378" t="s">
        <v>34</v>
      </c>
      <c r="D57" s="379"/>
      <c r="E57" s="192">
        <f>E58+E78+E79+E80</f>
        <v>261498.69891639339</v>
      </c>
      <c r="F57" s="192"/>
      <c r="G57" s="192">
        <f t="shared" si="2"/>
        <v>7.4897948936356009</v>
      </c>
      <c r="K57" s="365" t="s">
        <v>329</v>
      </c>
      <c r="L57" s="231" t="s">
        <v>330</v>
      </c>
      <c r="M57" s="232" t="s">
        <v>331</v>
      </c>
      <c r="N57" s="232" t="s">
        <v>332</v>
      </c>
      <c r="O57" s="233" t="s">
        <v>333</v>
      </c>
      <c r="P57" s="233"/>
      <c r="Q57" s="216"/>
      <c r="R57" s="231" t="s">
        <v>330</v>
      </c>
      <c r="S57" s="232" t="s">
        <v>331</v>
      </c>
      <c r="T57" s="232" t="s">
        <v>332</v>
      </c>
      <c r="U57" s="233" t="s">
        <v>333</v>
      </c>
      <c r="V57" s="216"/>
    </row>
    <row r="58" spans="2:25" ht="29.25" customHeight="1" x14ac:dyDescent="0.25">
      <c r="B58" s="191"/>
      <c r="C58" s="378" t="s">
        <v>79</v>
      </c>
      <c r="D58" s="379"/>
      <c r="E58" s="194">
        <f>E59+E67</f>
        <v>244483.77354325907</v>
      </c>
      <c r="F58" s="234"/>
      <c r="G58" s="194">
        <f>E58/$E$10/12</f>
        <v>7.0024567091498851</v>
      </c>
      <c r="H58" s="229"/>
      <c r="I58" s="229"/>
      <c r="K58" s="366"/>
      <c r="L58" s="235">
        <v>6</v>
      </c>
      <c r="M58" s="236">
        <v>6</v>
      </c>
      <c r="N58" s="236">
        <v>12</v>
      </c>
      <c r="O58" s="236">
        <v>6</v>
      </c>
      <c r="P58" s="228" t="s">
        <v>334</v>
      </c>
      <c r="Q58" s="220"/>
      <c r="R58" s="237" t="s">
        <v>86</v>
      </c>
      <c r="S58" s="238" t="s">
        <v>86</v>
      </c>
      <c r="T58" s="238" t="s">
        <v>307</v>
      </c>
      <c r="U58" s="238" t="s">
        <v>86</v>
      </c>
      <c r="V58" s="220"/>
    </row>
    <row r="59" spans="2:25" s="245" customFormat="1" ht="15" x14ac:dyDescent="0.25">
      <c r="B59" s="239" t="s">
        <v>80</v>
      </c>
      <c r="C59" s="239" t="s">
        <v>81</v>
      </c>
      <c r="D59" s="240"/>
      <c r="E59" s="241">
        <f>SUM(E60:E66)</f>
        <v>85013.160345715209</v>
      </c>
      <c r="F59" s="242"/>
      <c r="G59" s="243">
        <f t="shared" ref="G59:G62" si="4">E59/$E$10/6</f>
        <v>4.8698608206286993</v>
      </c>
      <c r="H59" s="244"/>
      <c r="J59" s="246">
        <f>SUM(J60:J77)</f>
        <v>1.0000000031377938</v>
      </c>
      <c r="K59" s="366"/>
      <c r="L59" s="235">
        <v>4.5678420101668855E-3</v>
      </c>
      <c r="M59" s="236">
        <v>2.957954166231984E-3</v>
      </c>
      <c r="N59" s="236">
        <v>8.9883102663955244E-2</v>
      </c>
      <c r="O59" s="236">
        <v>7.5535133981278046E-3</v>
      </c>
      <c r="P59" s="236"/>
      <c r="Q59" s="247"/>
      <c r="R59" s="248">
        <f>(21/3*0.57)/6</f>
        <v>0.66499999999999992</v>
      </c>
      <c r="S59" s="228">
        <f t="shared" ref="S59:U59" si="5">(21/3*0.57)/6</f>
        <v>0.66499999999999992</v>
      </c>
      <c r="T59" s="228">
        <f>6/12</f>
        <v>0.5</v>
      </c>
      <c r="U59" s="228">
        <f t="shared" si="5"/>
        <v>0.66499999999999992</v>
      </c>
      <c r="V59" s="220" t="s">
        <v>335</v>
      </c>
      <c r="W59" s="180"/>
      <c r="X59" s="180"/>
      <c r="Y59" s="180"/>
    </row>
    <row r="60" spans="2:25" s="245" customFormat="1" ht="30.75" thickBot="1" x14ac:dyDescent="0.3">
      <c r="B60" s="195" t="s">
        <v>82</v>
      </c>
      <c r="C60" s="196" t="s">
        <v>297</v>
      </c>
      <c r="D60" s="196" t="s">
        <v>298</v>
      </c>
      <c r="E60" s="249">
        <f>Предлагаемый!$D$61*12*'!!!Периодичность 2(не забываем)'!J60</f>
        <v>25661.606543746406</v>
      </c>
      <c r="F60" s="242"/>
      <c r="G60" s="250">
        <f t="shared" si="4"/>
        <v>1.4699894909633044</v>
      </c>
      <c r="H60" s="244"/>
      <c r="J60" s="246">
        <v>0.10496241223848199</v>
      </c>
      <c r="K60" s="367"/>
      <c r="L60" s="251">
        <f>G60/J60*L59</f>
        <v>6.3972231660127929E-2</v>
      </c>
      <c r="M60" s="252">
        <f>G60/J60*M59</f>
        <v>4.1425891863392107E-2</v>
      </c>
      <c r="N60" s="252">
        <f>G60/J60*N59</f>
        <v>1.2588050666269717</v>
      </c>
      <c r="O60" s="252">
        <f>G60/J60*O59</f>
        <v>0.10578630081281158</v>
      </c>
      <c r="P60" s="167">
        <f>L60+M60+N60+O60</f>
        <v>1.4699894909633031</v>
      </c>
      <c r="Q60" s="253"/>
      <c r="R60" s="235">
        <f>L60*R59</f>
        <v>4.2541534053985065E-2</v>
      </c>
      <c r="S60" s="236">
        <f>M60*S59</f>
        <v>2.7548218089155748E-2</v>
      </c>
      <c r="T60" s="236">
        <f>N60*T59</f>
        <v>0.62940253331348583</v>
      </c>
      <c r="U60" s="236">
        <f>O60*U59</f>
        <v>7.0347890040519695E-2</v>
      </c>
      <c r="V60" s="168">
        <f>R60+S60+T60+U60</f>
        <v>0.76984017549714634</v>
      </c>
    </row>
    <row r="61" spans="2:25" s="245" customFormat="1" ht="30" x14ac:dyDescent="0.25">
      <c r="B61" s="195" t="s">
        <v>83</v>
      </c>
      <c r="C61" s="196" t="s">
        <v>299</v>
      </c>
      <c r="D61" s="196" t="s">
        <v>84</v>
      </c>
      <c r="E61" s="249">
        <f>Предлагаемый!$D$61*12*'!!!Периодичность 2(не забываем)'!J61</f>
        <v>4658.6451181635211</v>
      </c>
      <c r="F61" s="250"/>
      <c r="G61" s="250">
        <f t="shared" si="4"/>
        <v>0.26686401547594213</v>
      </c>
      <c r="H61" s="244"/>
      <c r="J61" s="246">
        <v>1.905502792788449E-2</v>
      </c>
      <c r="K61" s="368" t="s">
        <v>336</v>
      </c>
      <c r="L61" s="231">
        <v>4.5</v>
      </c>
      <c r="M61" s="232">
        <v>4.5</v>
      </c>
      <c r="N61" s="232">
        <v>4.5</v>
      </c>
      <c r="O61" s="232"/>
      <c r="P61" s="233" t="s">
        <v>334</v>
      </c>
      <c r="Q61" s="254"/>
      <c r="R61" s="255">
        <f>(21/3*0.43)/4.5</f>
        <v>0.66888888888888887</v>
      </c>
      <c r="S61" s="256">
        <f t="shared" ref="S61:T61" si="6">(21/3*0.43)/4.5</f>
        <v>0.66888888888888887</v>
      </c>
      <c r="T61" s="256">
        <f t="shared" si="6"/>
        <v>0.66888888888888887</v>
      </c>
      <c r="U61" s="232"/>
      <c r="V61" s="216" t="s">
        <v>335</v>
      </c>
    </row>
    <row r="62" spans="2:25" s="245" customFormat="1" ht="15.75" thickBot="1" x14ac:dyDescent="0.3">
      <c r="B62" s="195" t="s">
        <v>85</v>
      </c>
      <c r="C62" s="196" t="s">
        <v>116</v>
      </c>
      <c r="D62" s="196" t="s">
        <v>78</v>
      </c>
      <c r="E62" s="249">
        <f>Предлагаемый!$D$61*12*'!!!Периодичность 2(не забываем)'!J62</f>
        <v>50840.633468250635</v>
      </c>
      <c r="F62" s="250"/>
      <c r="G62" s="250">
        <f t="shared" si="4"/>
        <v>2.9123350786647553</v>
      </c>
      <c r="H62" s="244"/>
      <c r="J62" s="246">
        <f>0.230240132699044-0.02228918</f>
        <v>0.20795095269904401</v>
      </c>
      <c r="K62" s="369"/>
      <c r="L62" s="251">
        <f>0.00165894334681199*G61/J61</f>
        <v>2.323335786506488E-2</v>
      </c>
      <c r="M62" s="252">
        <f>0.00107426622315821*G61/J61</f>
        <v>1.5045005396326508E-2</v>
      </c>
      <c r="N62" s="252">
        <f>0.0163218183579143*G61/J61</f>
        <v>0.22858565221455088</v>
      </c>
      <c r="O62" s="252"/>
      <c r="P62" s="169">
        <f>L62+M62+N62</f>
        <v>0.2668640154759423</v>
      </c>
      <c r="Q62" s="253"/>
      <c r="R62" s="257">
        <f>L62*R61</f>
        <v>1.5540534927521174E-2</v>
      </c>
      <c r="S62" s="258">
        <f>M62*S61</f>
        <v>1.0063436942876175E-2</v>
      </c>
      <c r="T62" s="258">
        <f>N62*T61</f>
        <v>0.15289840292573292</v>
      </c>
      <c r="U62" s="222"/>
      <c r="V62" s="170">
        <f>R62+S62+T62</f>
        <v>0.17850237479613026</v>
      </c>
    </row>
    <row r="63" spans="2:25" s="245" customFormat="1" ht="15" x14ac:dyDescent="0.25">
      <c r="B63" s="195" t="s">
        <v>87</v>
      </c>
      <c r="C63" s="196" t="s">
        <v>300</v>
      </c>
      <c r="D63" s="196" t="s">
        <v>301</v>
      </c>
      <c r="E63" s="249">
        <f>Предлагаемый!$D$61*12*'!!!Периодичность 2(не забываем)'!J63</f>
        <v>193.47171650737198</v>
      </c>
      <c r="F63" s="250">
        <f>G63/G59</f>
        <v>2.2757854868657784E-3</v>
      </c>
      <c r="G63" s="250">
        <f>E63/$E$10/6</f>
        <v>1.1082758578643064E-2</v>
      </c>
      <c r="H63" s="244"/>
      <c r="J63" s="245">
        <v>7.9134788501705354E-4</v>
      </c>
      <c r="K63" s="370" t="s">
        <v>337</v>
      </c>
      <c r="L63" s="231" t="s">
        <v>78</v>
      </c>
      <c r="M63" s="232"/>
      <c r="N63" s="232" t="s">
        <v>86</v>
      </c>
      <c r="O63" s="232"/>
      <c r="P63" s="232"/>
      <c r="Q63" s="254"/>
      <c r="V63" s="171"/>
    </row>
    <row r="64" spans="2:25" s="245" customFormat="1" ht="15.75" thickBot="1" x14ac:dyDescent="0.3">
      <c r="B64" s="195" t="s">
        <v>88</v>
      </c>
      <c r="C64" s="196" t="s">
        <v>302</v>
      </c>
      <c r="D64" s="196" t="s">
        <v>303</v>
      </c>
      <c r="E64" s="249">
        <f>Предлагаемый!$D$61*12*'!!!Периодичность 2(не забываем)'!J64</f>
        <v>853.04274881689923</v>
      </c>
      <c r="F64" s="250">
        <f>G64/G59</f>
        <v>1.003424346710449E-2</v>
      </c>
      <c r="G64" s="250">
        <f t="shared" ref="G64:G67" si="7">E64/$E$10/6</f>
        <v>4.8865369125101636E-2</v>
      </c>
      <c r="H64" s="244"/>
      <c r="J64" s="245">
        <v>3.4891589700640547E-3</v>
      </c>
      <c r="K64" s="371"/>
      <c r="L64" s="259">
        <f>4/10</f>
        <v>0.4</v>
      </c>
      <c r="M64" s="260"/>
      <c r="N64" s="260">
        <f>7/10</f>
        <v>0.7</v>
      </c>
      <c r="O64" s="252"/>
      <c r="P64" s="252" t="s">
        <v>338</v>
      </c>
      <c r="Q64" s="253"/>
      <c r="V64" s="171"/>
    </row>
    <row r="65" spans="2:22" s="245" customFormat="1" ht="15.75" thickBot="1" x14ac:dyDescent="0.3">
      <c r="B65" s="195" t="s">
        <v>91</v>
      </c>
      <c r="C65" s="196" t="s">
        <v>89</v>
      </c>
      <c r="D65" s="196" t="s">
        <v>90</v>
      </c>
      <c r="E65" s="249">
        <f>Предлагаемый!$D$61*12*'!!!Периодичность 2(не забываем)'!J65</f>
        <v>1906.7653354953507</v>
      </c>
      <c r="F65" s="250">
        <f>G65/G59</f>
        <v>2.2429060721202262E-2</v>
      </c>
      <c r="G65" s="250">
        <f t="shared" si="7"/>
        <v>0.10922640404968498</v>
      </c>
      <c r="H65" s="244"/>
      <c r="J65" s="245">
        <v>7.7991488508377558E-3</v>
      </c>
      <c r="R65" s="231"/>
      <c r="S65" s="232"/>
      <c r="T65" s="232"/>
      <c r="U65" s="232"/>
      <c r="V65" s="172"/>
    </row>
    <row r="66" spans="2:22" s="245" customFormat="1" ht="39" x14ac:dyDescent="0.25">
      <c r="B66" s="195" t="s">
        <v>304</v>
      </c>
      <c r="C66" s="196" t="s">
        <v>305</v>
      </c>
      <c r="D66" s="196" t="s">
        <v>269</v>
      </c>
      <c r="E66" s="249">
        <f>Предлагаемый!$D$61*12*'!!!Периодичность 2(не забываем)'!J66</f>
        <v>898.99541473503109</v>
      </c>
      <c r="F66" s="250">
        <f>G66/G59</f>
        <v>1.0574779376265617E-2</v>
      </c>
      <c r="G66" s="250">
        <f t="shared" si="7"/>
        <v>5.1497703771268326E-2</v>
      </c>
      <c r="H66" s="244"/>
      <c r="J66" s="245">
        <v>3.6771169085249114E-3</v>
      </c>
      <c r="K66" s="231"/>
      <c r="L66" s="232" t="s">
        <v>307</v>
      </c>
      <c r="M66" s="232" t="s">
        <v>307</v>
      </c>
      <c r="N66" s="232" t="s">
        <v>301</v>
      </c>
      <c r="O66" s="232"/>
      <c r="P66" s="232"/>
      <c r="Q66" s="232"/>
      <c r="R66" s="237" t="s">
        <v>86</v>
      </c>
      <c r="S66" s="238" t="s">
        <v>86</v>
      </c>
      <c r="T66" s="238" t="s">
        <v>307</v>
      </c>
      <c r="U66" s="236"/>
      <c r="V66" s="173"/>
    </row>
    <row r="67" spans="2:22" s="245" customFormat="1" ht="15" x14ac:dyDescent="0.25">
      <c r="B67" s="239" t="s">
        <v>92</v>
      </c>
      <c r="C67" s="239" t="s">
        <v>93</v>
      </c>
      <c r="D67" s="196"/>
      <c r="E67" s="243">
        <f>SUM(E68:E77)</f>
        <v>159470.61319754386</v>
      </c>
      <c r="F67" s="243"/>
      <c r="G67" s="243">
        <f t="shared" si="7"/>
        <v>9.1350525976710699</v>
      </c>
      <c r="H67" s="244"/>
      <c r="K67" s="235"/>
      <c r="L67" s="236">
        <v>8</v>
      </c>
      <c r="M67" s="236">
        <v>8</v>
      </c>
      <c r="N67" s="236">
        <v>16</v>
      </c>
      <c r="O67" s="236"/>
      <c r="P67" s="236"/>
      <c r="Q67" s="236"/>
      <c r="R67" s="261">
        <f>(20/3*0.8)/8</f>
        <v>0.66666666666666674</v>
      </c>
      <c r="S67" s="262">
        <f>(20/3*0.8)/8</f>
        <v>0.66666666666666674</v>
      </c>
      <c r="T67" s="236">
        <f>8/16</f>
        <v>0.5</v>
      </c>
      <c r="U67" s="236"/>
      <c r="V67" s="173"/>
    </row>
    <row r="68" spans="2:22" s="245" customFormat="1" ht="15.75" thickBot="1" x14ac:dyDescent="0.3">
      <c r="B68" s="195" t="s">
        <v>94</v>
      </c>
      <c r="C68" s="196" t="s">
        <v>306</v>
      </c>
      <c r="D68" s="196" t="s">
        <v>307</v>
      </c>
      <c r="E68" s="249">
        <f>Предлагаемый!$D$61*12*'!!!Периодичность 2(не забываем)'!J68</f>
        <v>84936.265363768558</v>
      </c>
      <c r="F68" s="250"/>
      <c r="G68" s="250">
        <f t="shared" ref="G68:G70" si="8">E68/6/$E$10</f>
        <v>4.8654559983828012</v>
      </c>
      <c r="H68" s="244"/>
      <c r="J68" s="245">
        <v>0.34741064570181945</v>
      </c>
      <c r="K68" s="251" t="s">
        <v>339</v>
      </c>
      <c r="L68" s="263">
        <f>0.0206561213713666*G68/J68</f>
        <v>0.28928719045615719</v>
      </c>
      <c r="M68" s="263">
        <f>0.0122295668860969*G68/J68</f>
        <v>0.17127402484567042</v>
      </c>
      <c r="N68" s="263">
        <f>0.314524957444356*G68/J68</f>
        <v>4.4048947830809739</v>
      </c>
      <c r="O68" s="252"/>
      <c r="P68" s="167">
        <f>L68+M68+N68</f>
        <v>4.8654559983828012</v>
      </c>
      <c r="Q68" s="252"/>
      <c r="R68" s="257">
        <f>L68*R67</f>
        <v>0.19285812697077148</v>
      </c>
      <c r="S68" s="258">
        <f t="shared" ref="S68:T68" si="9">M68*S67</f>
        <v>0.11418268323044696</v>
      </c>
      <c r="T68" s="258">
        <f t="shared" si="9"/>
        <v>2.202447391540487</v>
      </c>
      <c r="U68" s="252"/>
      <c r="V68" s="170">
        <f>R68+S68+T68</f>
        <v>2.5094882017417053</v>
      </c>
    </row>
    <row r="69" spans="2:22" s="245" customFormat="1" ht="39" x14ac:dyDescent="0.25">
      <c r="B69" s="195" t="s">
        <v>95</v>
      </c>
      <c r="C69" s="196" t="s">
        <v>308</v>
      </c>
      <c r="D69" s="196" t="s">
        <v>301</v>
      </c>
      <c r="E69" s="249">
        <f>Предлагаемый!$D$61*12*'!!!Периодичность 2(не забываем)'!J69</f>
        <v>53822.482533066068</v>
      </c>
      <c r="F69" s="250"/>
      <c r="G69" s="250">
        <f t="shared" si="8"/>
        <v>3.083146161028016</v>
      </c>
      <c r="H69" s="244"/>
      <c r="J69" s="245">
        <v>0.22014746386604894</v>
      </c>
      <c r="K69" s="231" t="s">
        <v>340</v>
      </c>
      <c r="L69" s="232" t="s">
        <v>307</v>
      </c>
      <c r="M69" s="232" t="s">
        <v>301</v>
      </c>
      <c r="N69" s="232" t="s">
        <v>301</v>
      </c>
      <c r="O69" s="232"/>
      <c r="P69" s="174"/>
      <c r="Q69" s="232"/>
      <c r="R69" s="264" t="s">
        <v>86</v>
      </c>
      <c r="S69" s="265" t="s">
        <v>307</v>
      </c>
      <c r="T69" s="265" t="s">
        <v>307</v>
      </c>
      <c r="U69" s="233" t="s">
        <v>335</v>
      </c>
      <c r="V69" s="216"/>
    </row>
    <row r="70" spans="2:22" s="245" customFormat="1" ht="30" x14ac:dyDescent="0.25">
      <c r="B70" s="195" t="s">
        <v>96</v>
      </c>
      <c r="C70" s="196" t="s">
        <v>309</v>
      </c>
      <c r="D70" s="196" t="s">
        <v>310</v>
      </c>
      <c r="E70" s="249">
        <f>Предлагаемый!$D$61*12*'!!!Периодичность 2(не забываем)'!J70</f>
        <v>5077.931630779638</v>
      </c>
      <c r="F70" s="250"/>
      <c r="G70" s="250">
        <f t="shared" si="8"/>
        <v>0.29088226102879294</v>
      </c>
      <c r="H70" s="244"/>
      <c r="J70" s="245">
        <v>2.0770015012119603E-2</v>
      </c>
      <c r="K70" s="235"/>
      <c r="L70" s="175">
        <v>2</v>
      </c>
      <c r="M70" s="175">
        <v>4</v>
      </c>
      <c r="N70" s="175">
        <v>4</v>
      </c>
      <c r="O70" s="236"/>
      <c r="P70" s="176"/>
      <c r="Q70" s="236"/>
      <c r="R70" s="261">
        <f>(20/3*0.2)/2</f>
        <v>0.66666666666666674</v>
      </c>
      <c r="S70" s="236">
        <f>2/M70</f>
        <v>0.5</v>
      </c>
      <c r="T70" s="236">
        <f>2/N70</f>
        <v>0.5</v>
      </c>
      <c r="U70" s="236"/>
      <c r="V70" s="173"/>
    </row>
    <row r="71" spans="2:22" s="245" customFormat="1" ht="30" x14ac:dyDescent="0.25">
      <c r="B71" s="195" t="s">
        <v>97</v>
      </c>
      <c r="C71" s="196" t="s">
        <v>311</v>
      </c>
      <c r="D71" s="196" t="s">
        <v>312</v>
      </c>
      <c r="E71" s="249">
        <f>Предлагаемый!$D$61*12*'!!!Периодичность 2(не забываем)'!J71</f>
        <v>6266.0523111374159</v>
      </c>
      <c r="F71" s="250">
        <f>G71/G67</f>
        <v>3.9292833867612696E-2</v>
      </c>
      <c r="G71" s="250">
        <f>E71/6/$E$10</f>
        <v>0.35894210409219313</v>
      </c>
      <c r="H71" s="244"/>
      <c r="J71" s="245">
        <v>2.562972683211746E-2</v>
      </c>
      <c r="K71" s="235"/>
      <c r="L71" s="175">
        <f>0.0112175582173998*G69/J69</f>
        <v>0.157100931106471</v>
      </c>
      <c r="M71" s="175">
        <f>0.0135278006396439*G69/J69</f>
        <v>0.18945567610376024</v>
      </c>
      <c r="N71" s="175">
        <f>0.195402105009005*G69/J69</f>
        <v>2.7365895538177814</v>
      </c>
      <c r="O71" s="236"/>
      <c r="P71" s="176">
        <f>L71+M71+N71</f>
        <v>3.0831461610280124</v>
      </c>
      <c r="Q71" s="236"/>
      <c r="R71" s="266">
        <f>L71*R70</f>
        <v>0.10473395407098068</v>
      </c>
      <c r="S71" s="267">
        <f t="shared" ref="S71:T71" si="10">M71*S70</f>
        <v>9.472783805188012E-2</v>
      </c>
      <c r="T71" s="267">
        <f t="shared" si="10"/>
        <v>1.3682947769088907</v>
      </c>
      <c r="U71" s="236"/>
      <c r="V71" s="177">
        <f>R71+S71+T71</f>
        <v>1.5677565690317514</v>
      </c>
    </row>
    <row r="72" spans="2:22" s="245" customFormat="1" ht="15.75" thickBot="1" x14ac:dyDescent="0.3">
      <c r="B72" s="195" t="s">
        <v>98</v>
      </c>
      <c r="C72" s="196" t="s">
        <v>313</v>
      </c>
      <c r="D72" s="196" t="s">
        <v>78</v>
      </c>
      <c r="E72" s="249">
        <f>Предлагаемый!$D$61*12*'!!!Периодичность 2(не забываем)'!J72</f>
        <v>745.46762489993102</v>
      </c>
      <c r="F72" s="250">
        <f>G72/G67</f>
        <v>4.6746394834293681E-3</v>
      </c>
      <c r="G72" s="250">
        <f t="shared" ref="G72:G77" si="11">E72/6/$E$10</f>
        <v>4.2703077556277197E-2</v>
      </c>
      <c r="H72" s="244"/>
      <c r="J72" s="245">
        <v>3.0491497101632855E-3</v>
      </c>
      <c r="K72" s="251"/>
      <c r="L72" s="252"/>
      <c r="M72" s="252"/>
      <c r="N72" s="252"/>
      <c r="O72" s="252"/>
      <c r="P72" s="252"/>
      <c r="Q72" s="252"/>
      <c r="R72" s="251"/>
      <c r="S72" s="252"/>
      <c r="T72" s="252"/>
      <c r="U72" s="252"/>
      <c r="V72" s="253"/>
    </row>
    <row r="73" spans="2:22" s="245" customFormat="1" ht="15" x14ac:dyDescent="0.25">
      <c r="B73" s="195" t="s">
        <v>99</v>
      </c>
      <c r="C73" s="196" t="s">
        <v>314</v>
      </c>
      <c r="D73" s="196" t="s">
        <v>283</v>
      </c>
      <c r="E73" s="249">
        <f>Предлагаемый!$D$61*12*'!!!Периодичность 2(не забываем)'!J73</f>
        <v>2574.4881919079317</v>
      </c>
      <c r="F73" s="250">
        <f>G73/G67</f>
        <v>1.6143966216012415E-2</v>
      </c>
      <c r="G73" s="250">
        <f t="shared" si="11"/>
        <v>0.14747598051829822</v>
      </c>
      <c r="H73" s="244"/>
      <c r="J73" s="245">
        <v>1.0530302942704758E-2</v>
      </c>
    </row>
    <row r="74" spans="2:22" s="245" customFormat="1" ht="21.75" customHeight="1" x14ac:dyDescent="0.25">
      <c r="B74" s="195" t="s">
        <v>101</v>
      </c>
      <c r="C74" s="196" t="s">
        <v>117</v>
      </c>
      <c r="D74" s="196" t="s">
        <v>315</v>
      </c>
      <c r="E74" s="249">
        <f>Предлагаемый!$D$61*12*'!!!Периодичность 2(не забываем)'!J74</f>
        <v>188.07724867511257</v>
      </c>
      <c r="F74" s="250">
        <f>G74/G67</f>
        <v>1.1793849970472762E-3</v>
      </c>
      <c r="G74" s="250">
        <f t="shared" si="11"/>
        <v>1.0773743980931007E-2</v>
      </c>
      <c r="H74" s="244"/>
      <c r="J74" s="245">
        <v>7.6928315748522142E-4</v>
      </c>
    </row>
    <row r="75" spans="2:22" s="245" customFormat="1" ht="21" customHeight="1" x14ac:dyDescent="0.25">
      <c r="B75" s="195" t="s">
        <v>118</v>
      </c>
      <c r="C75" s="196" t="s">
        <v>316</v>
      </c>
      <c r="D75" s="196" t="s">
        <v>288</v>
      </c>
      <c r="E75" s="249">
        <f>Предлагаемый!$D$61*12*'!!!Периодичность 2(не забываем)'!J75</f>
        <v>697.1725906387652</v>
      </c>
      <c r="F75" s="250">
        <f>G75/G67</f>
        <v>4.371793502638284E-3</v>
      </c>
      <c r="G75" s="250">
        <f t="shared" si="11"/>
        <v>3.9936563592757358E-2</v>
      </c>
      <c r="H75" s="244"/>
      <c r="J75" s="245">
        <v>2.8516108972074213E-3</v>
      </c>
    </row>
    <row r="76" spans="2:22" s="245" customFormat="1" ht="24.75" customHeight="1" x14ac:dyDescent="0.25">
      <c r="B76" s="195" t="s">
        <v>119</v>
      </c>
      <c r="C76" s="196" t="s">
        <v>89</v>
      </c>
      <c r="D76" s="196" t="s">
        <v>317</v>
      </c>
      <c r="E76" s="249">
        <f>Предлагаемый!$D$61*12*'!!!Периодичность 2(не забываем)'!J76</f>
        <v>4477.7268152532688</v>
      </c>
      <c r="F76" s="250">
        <f>G76/G67</f>
        <v>2.8078695663548332E-2</v>
      </c>
      <c r="G76" s="250">
        <f t="shared" si="11"/>
        <v>0.25650036176051261</v>
      </c>
      <c r="H76" s="244"/>
      <c r="J76" s="245">
        <v>1.831502665558768E-2</v>
      </c>
    </row>
    <row r="77" spans="2:22" s="245" customFormat="1" ht="24.75" customHeight="1" x14ac:dyDescent="0.25">
      <c r="B77" s="195" t="s">
        <v>270</v>
      </c>
      <c r="C77" s="196" t="s">
        <v>305</v>
      </c>
      <c r="D77" s="196" t="s">
        <v>269</v>
      </c>
      <c r="E77" s="249">
        <f>Предлагаемый!$D$61*12*'!!!Периодичность 2(не забываем)'!J77</f>
        <v>684.94888741716647</v>
      </c>
      <c r="F77" s="250">
        <f>G77/G67</f>
        <v>4.2951417423139123E-3</v>
      </c>
      <c r="G77" s="250">
        <f t="shared" si="11"/>
        <v>3.9236345730490146E-2</v>
      </c>
      <c r="H77" s="244"/>
      <c r="J77" s="245">
        <v>2.8016128826856466E-3</v>
      </c>
    </row>
    <row r="78" spans="2:22" s="245" customFormat="1" ht="22.5" customHeight="1" x14ac:dyDescent="0.35">
      <c r="B78" s="268" t="s">
        <v>199</v>
      </c>
      <c r="C78" s="269" t="s">
        <v>271</v>
      </c>
      <c r="D78" s="196"/>
      <c r="E78" s="270">
        <f>Предлагаемый!D73*12</f>
        <v>17014.925373134327</v>
      </c>
      <c r="F78" s="271"/>
      <c r="G78" s="270">
        <f>E78/$E$10/12</f>
        <v>0.48733818448571714</v>
      </c>
      <c r="H78" s="244"/>
      <c r="J78" s="178" t="s">
        <v>341</v>
      </c>
    </row>
    <row r="79" spans="2:22" s="245" customFormat="1" ht="25.5" customHeight="1" x14ac:dyDescent="0.35">
      <c r="B79" s="268" t="s">
        <v>272</v>
      </c>
      <c r="C79" s="269" t="s">
        <v>35</v>
      </c>
      <c r="D79" s="196"/>
      <c r="E79" s="270">
        <f>Предлагаемый!D83*12</f>
        <v>0</v>
      </c>
      <c r="F79" s="270"/>
      <c r="G79" s="270">
        <f t="shared" ref="G79:G80" si="12">E79/$E$10/12</f>
        <v>0</v>
      </c>
      <c r="H79" s="244"/>
      <c r="J79" s="178" t="s">
        <v>342</v>
      </c>
    </row>
    <row r="80" spans="2:22" s="245" customFormat="1" ht="24" customHeight="1" x14ac:dyDescent="0.35">
      <c r="B80" s="268" t="s">
        <v>273</v>
      </c>
      <c r="C80" s="269" t="s">
        <v>139</v>
      </c>
      <c r="D80" s="196" t="s">
        <v>318</v>
      </c>
      <c r="E80" s="270">
        <f>Предлагаемый!D90*12</f>
        <v>0</v>
      </c>
      <c r="F80" s="270"/>
      <c r="G80" s="270">
        <f t="shared" si="12"/>
        <v>0</v>
      </c>
      <c r="H80" s="244"/>
      <c r="J80" s="178" t="s">
        <v>342</v>
      </c>
    </row>
    <row r="81" spans="2:10" ht="17.25" x14ac:dyDescent="0.2">
      <c r="B81" s="191" t="s">
        <v>102</v>
      </c>
      <c r="C81" s="203" t="s">
        <v>36</v>
      </c>
      <c r="D81" s="204" t="s">
        <v>104</v>
      </c>
      <c r="E81" s="192">
        <f>Предлагаемый!D97*12</f>
        <v>5373.13432835821</v>
      </c>
      <c r="F81" s="192"/>
      <c r="G81" s="192">
        <f t="shared" ref="G81:G85" si="13">E81/$E$10/12</f>
        <v>0.15389626878496335</v>
      </c>
    </row>
    <row r="82" spans="2:10" ht="17.25" x14ac:dyDescent="0.2">
      <c r="B82" s="191" t="s">
        <v>103</v>
      </c>
      <c r="C82" s="203" t="s">
        <v>38</v>
      </c>
      <c r="D82" s="204" t="s">
        <v>104</v>
      </c>
      <c r="E82" s="192">
        <f>Предлагаемый!D104*12</f>
        <v>48047.480597014925</v>
      </c>
      <c r="F82" s="192"/>
      <c r="G82" s="192">
        <f t="shared" si="13"/>
        <v>1.3761665978408353</v>
      </c>
    </row>
    <row r="83" spans="2:10" ht="45" x14ac:dyDescent="0.2">
      <c r="B83" s="191" t="s">
        <v>105</v>
      </c>
      <c r="C83" s="203" t="s">
        <v>359</v>
      </c>
      <c r="D83" s="204" t="s">
        <v>106</v>
      </c>
      <c r="E83" s="192">
        <f>Предлагаемый!D115*12</f>
        <v>43902.439024390245</v>
      </c>
      <c r="F83" s="192"/>
      <c r="G83" s="192">
        <f t="shared" si="13"/>
        <v>1.2574451229990904</v>
      </c>
    </row>
    <row r="84" spans="2:10" ht="45" x14ac:dyDescent="0.2">
      <c r="B84" s="191" t="s">
        <v>107</v>
      </c>
      <c r="C84" s="203" t="s">
        <v>360</v>
      </c>
      <c r="D84" s="204" t="s">
        <v>106</v>
      </c>
      <c r="E84" s="192">
        <f>Предлагаемый!D122*12</f>
        <v>0</v>
      </c>
      <c r="F84" s="192"/>
      <c r="G84" s="192">
        <f t="shared" si="13"/>
        <v>0</v>
      </c>
    </row>
    <row r="85" spans="2:10" ht="45" x14ac:dyDescent="0.2">
      <c r="B85" s="191" t="s">
        <v>108</v>
      </c>
      <c r="C85" s="203" t="s">
        <v>361</v>
      </c>
      <c r="D85" s="204" t="s">
        <v>106</v>
      </c>
      <c r="E85" s="192">
        <f>Предлагаемый!D128*12</f>
        <v>0</v>
      </c>
      <c r="F85" s="192"/>
      <c r="G85" s="192">
        <f t="shared" si="13"/>
        <v>0</v>
      </c>
    </row>
    <row r="86" spans="2:10" s="278" customFormat="1" ht="37.5" customHeight="1" x14ac:dyDescent="0.25">
      <c r="B86" s="272"/>
      <c r="C86" s="273" t="s">
        <v>42</v>
      </c>
      <c r="D86" s="273"/>
      <c r="E86" s="274">
        <f>E14+E43+E44+E57+E81+E82+E83+E84+E85</f>
        <v>840801.09950581565</v>
      </c>
      <c r="F86" s="274"/>
      <c r="G86" s="274">
        <f>E86/E10/12</f>
        <v>24.082061623011274</v>
      </c>
      <c r="H86" s="275"/>
      <c r="I86" s="276"/>
      <c r="J86" s="277">
        <f>E86-Предлагаемый!D134*12</f>
        <v>7.6713971793651581E-4</v>
      </c>
    </row>
    <row r="87" spans="2:10" s="283" customFormat="1" ht="27" customHeight="1" x14ac:dyDescent="0.25">
      <c r="B87" s="279">
        <v>10</v>
      </c>
      <c r="C87" s="203" t="s">
        <v>43</v>
      </c>
      <c r="D87" s="203"/>
      <c r="E87" s="280">
        <f>Предлагаемый!D135*12</f>
        <v>0</v>
      </c>
      <c r="F87" s="280"/>
      <c r="G87" s="280">
        <f>E87/$E$10/12</f>
        <v>0</v>
      </c>
      <c r="H87" s="281"/>
      <c r="I87" s="282"/>
    </row>
    <row r="88" spans="2:10" s="287" customFormat="1" ht="15" x14ac:dyDescent="0.25">
      <c r="B88" s="284" t="s">
        <v>363</v>
      </c>
      <c r="C88" s="196" t="s">
        <v>120</v>
      </c>
      <c r="D88" s="196" t="s">
        <v>121</v>
      </c>
      <c r="E88" s="250">
        <f>$E$87*J88</f>
        <v>0</v>
      </c>
      <c r="F88" s="250"/>
      <c r="G88" s="250">
        <f>E88/$E$10/12</f>
        <v>0</v>
      </c>
      <c r="H88" s="285"/>
      <c r="I88" s="286"/>
      <c r="J88" s="287">
        <v>0.57847816193887913</v>
      </c>
    </row>
    <row r="89" spans="2:10" s="287" customFormat="1" ht="15" x14ac:dyDescent="0.25">
      <c r="B89" s="284" t="s">
        <v>364</v>
      </c>
      <c r="C89" s="196" t="s">
        <v>122</v>
      </c>
      <c r="D89" s="196" t="s">
        <v>121</v>
      </c>
      <c r="E89" s="250">
        <f t="shared" ref="E89:E92" si="14">$E$87*J89</f>
        <v>0</v>
      </c>
      <c r="F89" s="250"/>
      <c r="G89" s="250">
        <f t="shared" ref="G89:G97" si="15">E89/$E$10/12</f>
        <v>0</v>
      </c>
      <c r="H89" s="285"/>
      <c r="I89" s="286"/>
      <c r="J89" s="287">
        <v>0.22579026593075766</v>
      </c>
    </row>
    <row r="90" spans="2:10" s="287" customFormat="1" ht="15" x14ac:dyDescent="0.25">
      <c r="B90" s="284" t="s">
        <v>364</v>
      </c>
      <c r="C90" s="196" t="s">
        <v>123</v>
      </c>
      <c r="D90" s="196" t="s">
        <v>78</v>
      </c>
      <c r="E90" s="250">
        <f t="shared" si="14"/>
        <v>0</v>
      </c>
      <c r="F90" s="250"/>
      <c r="G90" s="250">
        <f t="shared" si="15"/>
        <v>0</v>
      </c>
      <c r="H90" s="285"/>
      <c r="I90" s="286"/>
      <c r="J90" s="287">
        <v>0.13792459655305198</v>
      </c>
    </row>
    <row r="91" spans="2:10" s="287" customFormat="1" ht="15" x14ac:dyDescent="0.25">
      <c r="B91" s="284" t="s">
        <v>365</v>
      </c>
      <c r="C91" s="196" t="s">
        <v>124</v>
      </c>
      <c r="D91" s="196" t="s">
        <v>100</v>
      </c>
      <c r="E91" s="250">
        <f t="shared" si="14"/>
        <v>0</v>
      </c>
      <c r="F91" s="250"/>
      <c r="G91" s="250">
        <f t="shared" si="15"/>
        <v>0</v>
      </c>
      <c r="H91" s="285"/>
      <c r="I91" s="286"/>
      <c r="J91" s="287">
        <v>7.8063921399316215E-3</v>
      </c>
    </row>
    <row r="92" spans="2:10" s="287" customFormat="1" ht="15" x14ac:dyDescent="0.25">
      <c r="B92" s="284" t="s">
        <v>366</v>
      </c>
      <c r="C92" s="196" t="s">
        <v>125</v>
      </c>
      <c r="D92" s="196" t="s">
        <v>104</v>
      </c>
      <c r="E92" s="250">
        <f t="shared" si="14"/>
        <v>0</v>
      </c>
      <c r="F92" s="250"/>
      <c r="G92" s="250">
        <f t="shared" si="15"/>
        <v>0</v>
      </c>
      <c r="H92" s="285"/>
      <c r="I92" s="286"/>
      <c r="J92" s="287">
        <v>5.0000583437379668E-2</v>
      </c>
    </row>
    <row r="93" spans="2:10" s="278" customFormat="1" ht="29.25" customHeight="1" x14ac:dyDescent="0.25">
      <c r="B93" s="288" t="s">
        <v>109</v>
      </c>
      <c r="C93" s="203" t="s">
        <v>44</v>
      </c>
      <c r="D93" s="301" t="s">
        <v>126</v>
      </c>
      <c r="E93" s="192">
        <f>Предлагаемый!D145*12</f>
        <v>53623.188405797096</v>
      </c>
      <c r="F93" s="192"/>
      <c r="G93" s="192">
        <f t="shared" si="15"/>
        <v>1.5358649368676491</v>
      </c>
      <c r="H93" s="276"/>
      <c r="I93" s="276"/>
    </row>
    <row r="94" spans="2:10" s="278" customFormat="1" ht="29.25" customHeight="1" x14ac:dyDescent="0.25">
      <c r="B94" s="288" t="s">
        <v>110</v>
      </c>
      <c r="C94" s="203" t="s">
        <v>279</v>
      </c>
      <c r="D94" s="301"/>
      <c r="E94" s="192">
        <f>Предлагаемый!D151*12</f>
        <v>0</v>
      </c>
      <c r="F94" s="192"/>
      <c r="G94" s="192">
        <f t="shared" si="15"/>
        <v>0</v>
      </c>
      <c r="H94" s="276"/>
      <c r="I94" s="276"/>
    </row>
    <row r="95" spans="2:10" s="278" customFormat="1" ht="15.75" x14ac:dyDescent="0.25">
      <c r="B95" s="288" t="s">
        <v>112</v>
      </c>
      <c r="C95" s="203" t="s">
        <v>45</v>
      </c>
      <c r="D95" s="301" t="s">
        <v>111</v>
      </c>
      <c r="E95" s="192">
        <f>Предлагаемый!D156*12</f>
        <v>88084.338000000003</v>
      </c>
      <c r="F95" s="192"/>
      <c r="G95" s="192">
        <f>E95/$E$10/12</f>
        <v>2.5228944835882454</v>
      </c>
    </row>
    <row r="96" spans="2:10" s="278" customFormat="1" ht="15.75" x14ac:dyDescent="0.25">
      <c r="B96" s="288" t="s">
        <v>113</v>
      </c>
      <c r="C96" s="203" t="s">
        <v>369</v>
      </c>
      <c r="D96" s="301"/>
      <c r="E96" s="192">
        <f>Предлагаемый!D162*12</f>
        <v>0</v>
      </c>
      <c r="F96" s="192"/>
      <c r="G96" s="192">
        <f>E96/$E$10/12</f>
        <v>0</v>
      </c>
    </row>
    <row r="97" spans="2:10" s="278" customFormat="1" ht="24" customHeight="1" x14ac:dyDescent="0.25">
      <c r="B97" s="288" t="s">
        <v>275</v>
      </c>
      <c r="C97" s="203" t="s">
        <v>46</v>
      </c>
      <c r="D97" s="301"/>
      <c r="E97" s="192">
        <f>Предлагаемый!D168*12</f>
        <v>0</v>
      </c>
      <c r="F97" s="192"/>
      <c r="G97" s="192">
        <f t="shared" si="15"/>
        <v>0</v>
      </c>
    </row>
    <row r="98" spans="2:10" s="278" customFormat="1" ht="25.5" customHeight="1" x14ac:dyDescent="0.25">
      <c r="B98" s="288" t="s">
        <v>276</v>
      </c>
      <c r="C98" s="203" t="s">
        <v>47</v>
      </c>
      <c r="D98" s="301"/>
      <c r="E98" s="192">
        <f>Предлагаемый!D169*12</f>
        <v>0</v>
      </c>
      <c r="F98" s="192"/>
      <c r="G98" s="192">
        <f>E98/$E$10/12</f>
        <v>0</v>
      </c>
    </row>
    <row r="99" spans="2:10" ht="60.75" customHeight="1" x14ac:dyDescent="0.2">
      <c r="B99" s="375" t="s">
        <v>114</v>
      </c>
      <c r="C99" s="376"/>
      <c r="D99" s="377"/>
      <c r="E99" s="274">
        <f>E86+E87+E93+E95+E97+E98+E94+E96</f>
        <v>982508.62591161276</v>
      </c>
      <c r="F99" s="274">
        <f t="shared" ref="F99" si="16">F86+F87+F93+F95+F97+F98+F94</f>
        <v>0</v>
      </c>
      <c r="G99" s="289">
        <f>G86+G87+G93+G97+G98+G94+G95+G96</f>
        <v>28.14082104346717</v>
      </c>
      <c r="J99" s="290">
        <f>E99-Предлагаемый!D175*12</f>
        <v>7.6713971793651581E-4</v>
      </c>
    </row>
    <row r="100" spans="2:10" s="293" customFormat="1" ht="26.25" customHeight="1" x14ac:dyDescent="0.25">
      <c r="B100" s="362" t="s">
        <v>351</v>
      </c>
      <c r="C100" s="363"/>
      <c r="D100" s="364"/>
      <c r="E100" s="291"/>
      <c r="F100" s="291"/>
      <c r="G100" s="292"/>
      <c r="J100" s="294"/>
    </row>
    <row r="101" spans="2:10" s="297" customFormat="1" ht="18.75" x14ac:dyDescent="0.3">
      <c r="B101" s="295"/>
      <c r="C101" s="296" t="s">
        <v>138</v>
      </c>
      <c r="E101" s="298"/>
      <c r="F101" s="298"/>
      <c r="G101" s="298"/>
    </row>
    <row r="102" spans="2:10" s="297" customFormat="1" ht="18.75" x14ac:dyDescent="0.3">
      <c r="B102" s="295"/>
      <c r="C102" s="388" t="s">
        <v>133</v>
      </c>
      <c r="D102" s="388"/>
      <c r="E102" s="298" t="s">
        <v>134</v>
      </c>
      <c r="F102" s="298"/>
      <c r="G102" s="389" t="s">
        <v>51</v>
      </c>
      <c r="H102" s="389"/>
    </row>
    <row r="103" spans="2:10" ht="18.75" customHeight="1" x14ac:dyDescent="0.2">
      <c r="C103" s="387" t="s">
        <v>357</v>
      </c>
      <c r="D103" s="387"/>
      <c r="E103" s="300" t="s">
        <v>135</v>
      </c>
      <c r="F103" s="299"/>
      <c r="G103" s="387" t="s">
        <v>136</v>
      </c>
      <c r="H103" s="387"/>
    </row>
    <row r="104" spans="2:10" ht="18.75" customHeight="1" x14ac:dyDescent="0.2">
      <c r="C104" s="387" t="s">
        <v>357</v>
      </c>
      <c r="D104" s="387"/>
      <c r="E104" s="300" t="s">
        <v>135</v>
      </c>
      <c r="F104" s="299"/>
      <c r="G104" s="387" t="s">
        <v>136</v>
      </c>
      <c r="H104" s="387"/>
    </row>
    <row r="105" spans="2:10" ht="18.75" customHeight="1" x14ac:dyDescent="0.2">
      <c r="C105" s="387" t="s">
        <v>357</v>
      </c>
      <c r="D105" s="387"/>
      <c r="E105" s="300" t="s">
        <v>135</v>
      </c>
      <c r="F105" s="299"/>
      <c r="G105" s="387" t="s">
        <v>136</v>
      </c>
      <c r="H105" s="387"/>
    </row>
    <row r="106" spans="2:10" ht="18.75" customHeight="1" x14ac:dyDescent="0.2">
      <c r="C106" s="387" t="s">
        <v>357</v>
      </c>
      <c r="D106" s="387"/>
      <c r="E106" s="300" t="s">
        <v>135</v>
      </c>
      <c r="F106" s="299"/>
      <c r="G106" s="387" t="s">
        <v>136</v>
      </c>
      <c r="H106" s="387"/>
    </row>
    <row r="107" spans="2:10" ht="18.75" customHeight="1" x14ac:dyDescent="0.2">
      <c r="C107" s="387" t="s">
        <v>357</v>
      </c>
      <c r="D107" s="387"/>
      <c r="E107" s="300" t="s">
        <v>135</v>
      </c>
      <c r="F107" s="299"/>
      <c r="G107" s="387" t="s">
        <v>136</v>
      </c>
      <c r="H107" s="387"/>
    </row>
    <row r="108" spans="2:10" ht="18.75" customHeight="1" x14ac:dyDescent="0.2">
      <c r="C108" s="387" t="s">
        <v>357</v>
      </c>
      <c r="D108" s="387"/>
      <c r="E108" s="300" t="s">
        <v>135</v>
      </c>
      <c r="F108" s="299"/>
      <c r="G108" s="387" t="s">
        <v>136</v>
      </c>
      <c r="H108" s="387"/>
    </row>
    <row r="109" spans="2:10" ht="18.75" customHeight="1" x14ac:dyDescent="0.2">
      <c r="C109" s="387" t="s">
        <v>357</v>
      </c>
      <c r="D109" s="387"/>
      <c r="E109" s="300" t="s">
        <v>135</v>
      </c>
      <c r="F109" s="299"/>
      <c r="G109" s="387" t="s">
        <v>136</v>
      </c>
      <c r="H109" s="387"/>
    </row>
    <row r="110" spans="2:10" ht="18.75" customHeight="1" x14ac:dyDescent="0.2">
      <c r="C110" s="387" t="s">
        <v>357</v>
      </c>
      <c r="D110" s="387"/>
      <c r="E110" s="300" t="s">
        <v>135</v>
      </c>
      <c r="F110" s="299"/>
      <c r="G110" s="387" t="s">
        <v>136</v>
      </c>
      <c r="H110" s="387"/>
    </row>
    <row r="111" spans="2:10" ht="18.75" customHeight="1" x14ac:dyDescent="0.2">
      <c r="C111" s="387" t="s">
        <v>357</v>
      </c>
      <c r="D111" s="387"/>
      <c r="E111" s="300" t="s">
        <v>135</v>
      </c>
      <c r="F111" s="299"/>
      <c r="G111" s="387" t="s">
        <v>136</v>
      </c>
      <c r="H111" s="387"/>
    </row>
    <row r="112" spans="2:10" ht="18.75" customHeight="1" x14ac:dyDescent="0.2">
      <c r="C112" s="387" t="s">
        <v>357</v>
      </c>
      <c r="D112" s="387"/>
      <c r="E112" s="300" t="s">
        <v>135</v>
      </c>
      <c r="F112" s="299"/>
      <c r="G112" s="387" t="s">
        <v>136</v>
      </c>
      <c r="H112" s="387"/>
    </row>
    <row r="113" spans="3:8" ht="18.75" customHeight="1" x14ac:dyDescent="0.2">
      <c r="C113" s="387" t="s">
        <v>357</v>
      </c>
      <c r="D113" s="387"/>
      <c r="E113" s="300" t="s">
        <v>135</v>
      </c>
      <c r="F113" s="299"/>
      <c r="G113" s="387" t="s">
        <v>136</v>
      </c>
      <c r="H113" s="387"/>
    </row>
    <row r="114" spans="3:8" ht="18.75" customHeight="1" x14ac:dyDescent="0.2">
      <c r="C114" s="387" t="s">
        <v>357</v>
      </c>
      <c r="D114" s="387"/>
      <c r="E114" s="300" t="s">
        <v>135</v>
      </c>
      <c r="F114" s="299"/>
      <c r="G114" s="387" t="s">
        <v>136</v>
      </c>
      <c r="H114" s="387"/>
    </row>
    <row r="115" spans="3:8" ht="18.75" customHeight="1" x14ac:dyDescent="0.2">
      <c r="C115" s="387" t="s">
        <v>357</v>
      </c>
      <c r="D115" s="387"/>
      <c r="E115" s="300" t="s">
        <v>135</v>
      </c>
      <c r="F115" s="299"/>
      <c r="G115" s="387" t="s">
        <v>136</v>
      </c>
      <c r="H115" s="387"/>
    </row>
  </sheetData>
  <mergeCells count="63">
    <mergeCell ref="C15:D15"/>
    <mergeCell ref="C22:D22"/>
    <mergeCell ref="D10:D13"/>
    <mergeCell ref="E10:G10"/>
    <mergeCell ref="E11:G11"/>
    <mergeCell ref="E12:G12"/>
    <mergeCell ref="C14:D14"/>
    <mergeCell ref="C5:G5"/>
    <mergeCell ref="D6:G6"/>
    <mergeCell ref="D7:G7"/>
    <mergeCell ref="D8:G8"/>
    <mergeCell ref="D9:G9"/>
    <mergeCell ref="C102:D102"/>
    <mergeCell ref="G102:H102"/>
    <mergeCell ref="C103:D103"/>
    <mergeCell ref="G103:H103"/>
    <mergeCell ref="C104:D104"/>
    <mergeCell ref="G104:H104"/>
    <mergeCell ref="C105:D105"/>
    <mergeCell ref="G105:H105"/>
    <mergeCell ref="C106:D106"/>
    <mergeCell ref="G106:H106"/>
    <mergeCell ref="C107:D107"/>
    <mergeCell ref="G107:H107"/>
    <mergeCell ref="C108:D108"/>
    <mergeCell ref="G108:H108"/>
    <mergeCell ref="C109:D109"/>
    <mergeCell ref="G109:H109"/>
    <mergeCell ref="C110:D110"/>
    <mergeCell ref="G110:H110"/>
    <mergeCell ref="C114:D114"/>
    <mergeCell ref="G114:H114"/>
    <mergeCell ref="C115:D115"/>
    <mergeCell ref="G115:H115"/>
    <mergeCell ref="C111:D111"/>
    <mergeCell ref="G111:H111"/>
    <mergeCell ref="C112:D112"/>
    <mergeCell ref="G112:H112"/>
    <mergeCell ref="C113:D113"/>
    <mergeCell ref="G113:H113"/>
    <mergeCell ref="J25:J26"/>
    <mergeCell ref="C44:D44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31:D31"/>
    <mergeCell ref="E25:E26"/>
    <mergeCell ref="G25:G26"/>
    <mergeCell ref="B100:D100"/>
    <mergeCell ref="K57:K60"/>
    <mergeCell ref="K61:K62"/>
    <mergeCell ref="K63:K64"/>
    <mergeCell ref="C32:G32"/>
    <mergeCell ref="B99:D99"/>
    <mergeCell ref="C57:D57"/>
    <mergeCell ref="C58:D58"/>
  </mergeCells>
  <pageMargins left="0.27559055118110237" right="0.27559055118110237" top="0.39370078740157483" bottom="0.98425196850393704" header="0.15748031496062992" footer="0.51181102362204722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M24"/>
  <sheetViews>
    <sheetView view="pageBreakPreview" zoomScale="60" zoomScaleNormal="100" workbookViewId="0">
      <selection activeCell="X16" sqref="X16"/>
    </sheetView>
  </sheetViews>
  <sheetFormatPr defaultRowHeight="23.25" x14ac:dyDescent="0.35"/>
  <cols>
    <col min="1" max="6" width="9.140625" style="48"/>
    <col min="7" max="7" width="16" style="48" customWidth="1"/>
    <col min="8" max="8" width="9.140625" style="48"/>
    <col min="9" max="9" width="16.42578125" style="48" bestFit="1" customWidth="1"/>
    <col min="10" max="12" width="9.140625" style="48"/>
    <col min="13" max="13" width="11.28515625" style="48" customWidth="1"/>
    <col min="14" max="264" width="9.140625" style="48"/>
    <col min="265" max="265" width="16.42578125" style="48" bestFit="1" customWidth="1"/>
    <col min="266" max="520" width="9.140625" style="48"/>
    <col min="521" max="521" width="16.42578125" style="48" bestFit="1" customWidth="1"/>
    <col min="522" max="776" width="9.140625" style="48"/>
    <col min="777" max="777" width="16.42578125" style="48" bestFit="1" customWidth="1"/>
    <col min="778" max="1032" width="9.140625" style="48"/>
    <col min="1033" max="1033" width="16.42578125" style="48" bestFit="1" customWidth="1"/>
    <col min="1034" max="1288" width="9.140625" style="48"/>
    <col min="1289" max="1289" width="16.42578125" style="48" bestFit="1" customWidth="1"/>
    <col min="1290" max="1544" width="9.140625" style="48"/>
    <col min="1545" max="1545" width="16.42578125" style="48" bestFit="1" customWidth="1"/>
    <col min="1546" max="1800" width="9.140625" style="48"/>
    <col min="1801" max="1801" width="16.42578125" style="48" bestFit="1" customWidth="1"/>
    <col min="1802" max="2056" width="9.140625" style="48"/>
    <col min="2057" max="2057" width="16.42578125" style="48" bestFit="1" customWidth="1"/>
    <col min="2058" max="2312" width="9.140625" style="48"/>
    <col min="2313" max="2313" width="16.42578125" style="48" bestFit="1" customWidth="1"/>
    <col min="2314" max="2568" width="9.140625" style="48"/>
    <col min="2569" max="2569" width="16.42578125" style="48" bestFit="1" customWidth="1"/>
    <col min="2570" max="2824" width="9.140625" style="48"/>
    <col min="2825" max="2825" width="16.42578125" style="48" bestFit="1" customWidth="1"/>
    <col min="2826" max="3080" width="9.140625" style="48"/>
    <col min="3081" max="3081" width="16.42578125" style="48" bestFit="1" customWidth="1"/>
    <col min="3082" max="3336" width="9.140625" style="48"/>
    <col min="3337" max="3337" width="16.42578125" style="48" bestFit="1" customWidth="1"/>
    <col min="3338" max="3592" width="9.140625" style="48"/>
    <col min="3593" max="3593" width="16.42578125" style="48" bestFit="1" customWidth="1"/>
    <col min="3594" max="3848" width="9.140625" style="48"/>
    <col min="3849" max="3849" width="16.42578125" style="48" bestFit="1" customWidth="1"/>
    <col min="3850" max="4104" width="9.140625" style="48"/>
    <col min="4105" max="4105" width="16.42578125" style="48" bestFit="1" customWidth="1"/>
    <col min="4106" max="4360" width="9.140625" style="48"/>
    <col min="4361" max="4361" width="16.42578125" style="48" bestFit="1" customWidth="1"/>
    <col min="4362" max="4616" width="9.140625" style="48"/>
    <col min="4617" max="4617" width="16.42578125" style="48" bestFit="1" customWidth="1"/>
    <col min="4618" max="4872" width="9.140625" style="48"/>
    <col min="4873" max="4873" width="16.42578125" style="48" bestFit="1" customWidth="1"/>
    <col min="4874" max="5128" width="9.140625" style="48"/>
    <col min="5129" max="5129" width="16.42578125" style="48" bestFit="1" customWidth="1"/>
    <col min="5130" max="5384" width="9.140625" style="48"/>
    <col min="5385" max="5385" width="16.42578125" style="48" bestFit="1" customWidth="1"/>
    <col min="5386" max="5640" width="9.140625" style="48"/>
    <col min="5641" max="5641" width="16.42578125" style="48" bestFit="1" customWidth="1"/>
    <col min="5642" max="5896" width="9.140625" style="48"/>
    <col min="5897" max="5897" width="16.42578125" style="48" bestFit="1" customWidth="1"/>
    <col min="5898" max="6152" width="9.140625" style="48"/>
    <col min="6153" max="6153" width="16.42578125" style="48" bestFit="1" customWidth="1"/>
    <col min="6154" max="6408" width="9.140625" style="48"/>
    <col min="6409" max="6409" width="16.42578125" style="48" bestFit="1" customWidth="1"/>
    <col min="6410" max="6664" width="9.140625" style="48"/>
    <col min="6665" max="6665" width="16.42578125" style="48" bestFit="1" customWidth="1"/>
    <col min="6666" max="6920" width="9.140625" style="48"/>
    <col min="6921" max="6921" width="16.42578125" style="48" bestFit="1" customWidth="1"/>
    <col min="6922" max="7176" width="9.140625" style="48"/>
    <col min="7177" max="7177" width="16.42578125" style="48" bestFit="1" customWidth="1"/>
    <col min="7178" max="7432" width="9.140625" style="48"/>
    <col min="7433" max="7433" width="16.42578125" style="48" bestFit="1" customWidth="1"/>
    <col min="7434" max="7688" width="9.140625" style="48"/>
    <col min="7689" max="7689" width="16.42578125" style="48" bestFit="1" customWidth="1"/>
    <col min="7690" max="7944" width="9.140625" style="48"/>
    <col min="7945" max="7945" width="16.42578125" style="48" bestFit="1" customWidth="1"/>
    <col min="7946" max="8200" width="9.140625" style="48"/>
    <col min="8201" max="8201" width="16.42578125" style="48" bestFit="1" customWidth="1"/>
    <col min="8202" max="8456" width="9.140625" style="48"/>
    <col min="8457" max="8457" width="16.42578125" style="48" bestFit="1" customWidth="1"/>
    <col min="8458" max="8712" width="9.140625" style="48"/>
    <col min="8713" max="8713" width="16.42578125" style="48" bestFit="1" customWidth="1"/>
    <col min="8714" max="8968" width="9.140625" style="48"/>
    <col min="8969" max="8969" width="16.42578125" style="48" bestFit="1" customWidth="1"/>
    <col min="8970" max="9224" width="9.140625" style="48"/>
    <col min="9225" max="9225" width="16.42578125" style="48" bestFit="1" customWidth="1"/>
    <col min="9226" max="9480" width="9.140625" style="48"/>
    <col min="9481" max="9481" width="16.42578125" style="48" bestFit="1" customWidth="1"/>
    <col min="9482" max="9736" width="9.140625" style="48"/>
    <col min="9737" max="9737" width="16.42578125" style="48" bestFit="1" customWidth="1"/>
    <col min="9738" max="9992" width="9.140625" style="48"/>
    <col min="9993" max="9993" width="16.42578125" style="48" bestFit="1" customWidth="1"/>
    <col min="9994" max="10248" width="9.140625" style="48"/>
    <col min="10249" max="10249" width="16.42578125" style="48" bestFit="1" customWidth="1"/>
    <col min="10250" max="10504" width="9.140625" style="48"/>
    <col min="10505" max="10505" width="16.42578125" style="48" bestFit="1" customWidth="1"/>
    <col min="10506" max="10760" width="9.140625" style="48"/>
    <col min="10761" max="10761" width="16.42578125" style="48" bestFit="1" customWidth="1"/>
    <col min="10762" max="11016" width="9.140625" style="48"/>
    <col min="11017" max="11017" width="16.42578125" style="48" bestFit="1" customWidth="1"/>
    <col min="11018" max="11272" width="9.140625" style="48"/>
    <col min="11273" max="11273" width="16.42578125" style="48" bestFit="1" customWidth="1"/>
    <col min="11274" max="11528" width="9.140625" style="48"/>
    <col min="11529" max="11529" width="16.42578125" style="48" bestFit="1" customWidth="1"/>
    <col min="11530" max="11784" width="9.140625" style="48"/>
    <col min="11785" max="11785" width="16.42578125" style="48" bestFit="1" customWidth="1"/>
    <col min="11786" max="12040" width="9.140625" style="48"/>
    <col min="12041" max="12041" width="16.42578125" style="48" bestFit="1" customWidth="1"/>
    <col min="12042" max="12296" width="9.140625" style="48"/>
    <col min="12297" max="12297" width="16.42578125" style="48" bestFit="1" customWidth="1"/>
    <col min="12298" max="12552" width="9.140625" style="48"/>
    <col min="12553" max="12553" width="16.42578125" style="48" bestFit="1" customWidth="1"/>
    <col min="12554" max="12808" width="9.140625" style="48"/>
    <col min="12809" max="12809" width="16.42578125" style="48" bestFit="1" customWidth="1"/>
    <col min="12810" max="13064" width="9.140625" style="48"/>
    <col min="13065" max="13065" width="16.42578125" style="48" bestFit="1" customWidth="1"/>
    <col min="13066" max="13320" width="9.140625" style="48"/>
    <col min="13321" max="13321" width="16.42578125" style="48" bestFit="1" customWidth="1"/>
    <col min="13322" max="13576" width="9.140625" style="48"/>
    <col min="13577" max="13577" width="16.42578125" style="48" bestFit="1" customWidth="1"/>
    <col min="13578" max="13832" width="9.140625" style="48"/>
    <col min="13833" max="13833" width="16.42578125" style="48" bestFit="1" customWidth="1"/>
    <col min="13834" max="14088" width="9.140625" style="48"/>
    <col min="14089" max="14089" width="16.42578125" style="48" bestFit="1" customWidth="1"/>
    <col min="14090" max="14344" width="9.140625" style="48"/>
    <col min="14345" max="14345" width="16.42578125" style="48" bestFit="1" customWidth="1"/>
    <col min="14346" max="14600" width="9.140625" style="48"/>
    <col min="14601" max="14601" width="16.42578125" style="48" bestFit="1" customWidth="1"/>
    <col min="14602" max="14856" width="9.140625" style="48"/>
    <col min="14857" max="14857" width="16.42578125" style="48" bestFit="1" customWidth="1"/>
    <col min="14858" max="15112" width="9.140625" style="48"/>
    <col min="15113" max="15113" width="16.42578125" style="48" bestFit="1" customWidth="1"/>
    <col min="15114" max="15368" width="9.140625" style="48"/>
    <col min="15369" max="15369" width="16.42578125" style="48" bestFit="1" customWidth="1"/>
    <col min="15370" max="15624" width="9.140625" style="48"/>
    <col min="15625" max="15625" width="16.42578125" style="48" bestFit="1" customWidth="1"/>
    <col min="15626" max="15880" width="9.140625" style="48"/>
    <col min="15881" max="15881" width="16.42578125" style="48" bestFit="1" customWidth="1"/>
    <col min="15882" max="16136" width="9.140625" style="48"/>
    <col min="16137" max="16137" width="16.42578125" style="48" bestFit="1" customWidth="1"/>
    <col min="16138" max="16384" width="9.140625" style="48"/>
  </cols>
  <sheetData>
    <row r="2" spans="1:13" ht="35.25" x14ac:dyDescent="0.5">
      <c r="A2"/>
      <c r="B2" s="47"/>
      <c r="C2" s="47"/>
      <c r="D2" s="47"/>
      <c r="E2" s="410" t="s">
        <v>128</v>
      </c>
      <c r="F2" s="410"/>
      <c r="G2" s="410"/>
      <c r="H2" s="410"/>
      <c r="I2" s="410"/>
      <c r="J2" s="410"/>
      <c r="K2" s="47"/>
      <c r="L2" s="47"/>
      <c r="M2" s="47"/>
    </row>
    <row r="3" spans="1:13" x14ac:dyDescent="0.3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x14ac:dyDescent="0.35">
      <c r="B4" s="411" t="s">
        <v>367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x14ac:dyDescent="0.35">
      <c r="B5" s="411" t="str">
        <f>Предлагаемый!D8</f>
        <v>Обская,82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1:13" x14ac:dyDescent="0.35">
      <c r="B6" s="411" t="s">
        <v>129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</row>
    <row r="7" spans="1:13" x14ac:dyDescent="0.35"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</row>
    <row r="9" spans="1:13" x14ac:dyDescent="0.35">
      <c r="B9" s="409" t="s">
        <v>57</v>
      </c>
      <c r="C9" s="409"/>
      <c r="D9" s="409"/>
      <c r="E9" s="409"/>
      <c r="F9" s="409"/>
      <c r="G9" s="409"/>
      <c r="H9" s="50"/>
      <c r="I9" s="51">
        <f>Предлагаемый!F134</f>
        <v>24.082061601039008</v>
      </c>
      <c r="K9" s="48" t="s">
        <v>130</v>
      </c>
    </row>
    <row r="10" spans="1:13" x14ac:dyDescent="0.35">
      <c r="B10" s="52"/>
      <c r="C10" s="52"/>
      <c r="D10" s="52"/>
      <c r="E10" s="52"/>
      <c r="F10" s="52"/>
      <c r="G10" s="52"/>
      <c r="H10" s="52"/>
      <c r="I10" s="53"/>
    </row>
    <row r="11" spans="1:13" x14ac:dyDescent="0.35">
      <c r="B11" s="409" t="s">
        <v>43</v>
      </c>
      <c r="C11" s="409"/>
      <c r="D11" s="409"/>
      <c r="E11" s="409"/>
      <c r="F11" s="409"/>
      <c r="G11" s="409"/>
      <c r="H11" s="50"/>
      <c r="I11" s="51">
        <f>Предлагаемый!F135</f>
        <v>0</v>
      </c>
      <c r="K11" s="48" t="s">
        <v>130</v>
      </c>
    </row>
    <row r="12" spans="1:13" x14ac:dyDescent="0.35">
      <c r="B12" s="52"/>
      <c r="C12" s="52"/>
      <c r="D12" s="52"/>
      <c r="E12" s="52"/>
      <c r="F12" s="52"/>
      <c r="G12" s="52"/>
      <c r="H12" s="52"/>
      <c r="I12" s="53"/>
    </row>
    <row r="13" spans="1:13" x14ac:dyDescent="0.35">
      <c r="B13" s="409" t="s">
        <v>44</v>
      </c>
      <c r="C13" s="409"/>
      <c r="D13" s="409"/>
      <c r="E13" s="409"/>
      <c r="F13" s="409"/>
      <c r="G13" s="409"/>
      <c r="H13" s="50"/>
      <c r="I13" s="51">
        <f>Предлагаемый!F145</f>
        <v>1.5358649368676489</v>
      </c>
      <c r="K13" s="48" t="s">
        <v>130</v>
      </c>
    </row>
    <row r="14" spans="1:13" x14ac:dyDescent="0.35">
      <c r="B14" s="52"/>
      <c r="C14" s="52"/>
      <c r="D14" s="52"/>
      <c r="E14" s="52"/>
      <c r="F14" s="52"/>
      <c r="G14" s="52"/>
      <c r="H14" s="52"/>
      <c r="I14" s="53"/>
    </row>
    <row r="15" spans="1:13" x14ac:dyDescent="0.35">
      <c r="B15" s="409" t="s">
        <v>131</v>
      </c>
      <c r="C15" s="409"/>
      <c r="D15" s="409"/>
      <c r="E15" s="409"/>
      <c r="F15" s="409"/>
      <c r="G15" s="409"/>
      <c r="H15" s="50"/>
      <c r="I15" s="51">
        <f>Предлагаемый!F156</f>
        <v>2.5228944835882454</v>
      </c>
      <c r="K15" s="48" t="s">
        <v>130</v>
      </c>
    </row>
    <row r="16" spans="1:13" x14ac:dyDescent="0.35">
      <c r="B16" s="52"/>
      <c r="C16" s="52"/>
      <c r="D16" s="52"/>
      <c r="E16" s="52"/>
      <c r="F16" s="52"/>
      <c r="G16" s="52"/>
      <c r="H16" s="52"/>
      <c r="I16" s="53"/>
    </row>
    <row r="17" spans="1:13" x14ac:dyDescent="0.35">
      <c r="B17" s="409" t="s">
        <v>46</v>
      </c>
      <c r="C17" s="409"/>
      <c r="D17" s="409"/>
      <c r="E17" s="409"/>
      <c r="F17" s="409"/>
      <c r="G17" s="409"/>
      <c r="H17" s="50"/>
      <c r="I17" s="51">
        <f>Предлагаемый!F168</f>
        <v>0</v>
      </c>
      <c r="K17" s="48" t="s">
        <v>130</v>
      </c>
    </row>
    <row r="18" spans="1:13" x14ac:dyDescent="0.35">
      <c r="B18" s="52"/>
      <c r="C18" s="52"/>
      <c r="D18" s="52"/>
      <c r="E18" s="52"/>
      <c r="F18" s="52"/>
      <c r="G18" s="52"/>
      <c r="H18" s="52"/>
      <c r="I18" s="53"/>
    </row>
    <row r="19" spans="1:13" x14ac:dyDescent="0.35">
      <c r="B19" s="409" t="s">
        <v>47</v>
      </c>
      <c r="C19" s="409"/>
      <c r="D19" s="409"/>
      <c r="E19" s="409"/>
      <c r="F19" s="409"/>
      <c r="G19" s="409"/>
      <c r="H19" s="50"/>
      <c r="I19" s="51">
        <f>Предлагаемый!F169</f>
        <v>0</v>
      </c>
      <c r="K19" s="48" t="s">
        <v>130</v>
      </c>
    </row>
    <row r="20" spans="1:13" x14ac:dyDescent="0.35">
      <c r="B20" s="52"/>
      <c r="C20" s="52"/>
      <c r="D20" s="52"/>
      <c r="E20" s="52"/>
      <c r="F20" s="52"/>
      <c r="G20" s="52"/>
      <c r="H20" s="52"/>
      <c r="I20" s="53"/>
    </row>
    <row r="21" spans="1:13" x14ac:dyDescent="0.35">
      <c r="B21" s="413" t="s">
        <v>132</v>
      </c>
      <c r="C21" s="413"/>
      <c r="D21" s="413"/>
      <c r="E21" s="413"/>
      <c r="F21" s="413"/>
      <c r="G21" s="413"/>
      <c r="H21" s="50"/>
      <c r="I21" s="54">
        <f>Предлагаемый!F175</f>
        <v>28.140821021494904</v>
      </c>
      <c r="K21" s="55" t="s">
        <v>130</v>
      </c>
    </row>
    <row r="24" spans="1:13" x14ac:dyDescent="0.35">
      <c r="A24" s="409" t="s">
        <v>137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</row>
  </sheetData>
  <mergeCells count="13">
    <mergeCell ref="A24:M24"/>
    <mergeCell ref="B9:G9"/>
    <mergeCell ref="E2:J2"/>
    <mergeCell ref="B4:M4"/>
    <mergeCell ref="B5:M5"/>
    <mergeCell ref="B6:M6"/>
    <mergeCell ref="B7:M7"/>
    <mergeCell ref="B15:G15"/>
    <mergeCell ref="B17:G17"/>
    <mergeCell ref="B19:G19"/>
    <mergeCell ref="B21:G21"/>
    <mergeCell ref="B11:G11"/>
    <mergeCell ref="B13:G13"/>
  </mergeCells>
  <pageMargins left="1" right="0.84" top="0.24" bottom="0.2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Предлагаемый</vt:lpstr>
      <vt:lpstr>!!!Периодичность 2(не забываем)</vt:lpstr>
      <vt:lpstr>Объявление</vt:lpstr>
      <vt:lpstr>'!!!Периодичность 2(не забываем)'!Область_печати</vt:lpstr>
      <vt:lpstr>Объявление!Область_печати</vt:lpstr>
      <vt:lpstr>Предлагаемый!Область_печати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2017-09-18T03:12:15Z</dcterms:modified>
</cp:coreProperties>
</file>